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6"/>
  </bookViews>
  <sheets>
    <sheet name="Kinetic" sheetId="1" r:id="rId1"/>
    <sheet name="Beam" sheetId="2" r:id="rId2"/>
    <sheet name="Missile" sheetId="5" r:id="rId3"/>
    <sheet name="Laser" sheetId="6" r:id="rId4"/>
    <sheet name="Balance" sheetId="7" r:id="rId5"/>
    <sheet name="Ships" sheetId="8" r:id="rId6"/>
    <sheet name="Shield" sheetId="9" r:id="rId7"/>
    <sheet name="Plating" sheetId="10" r:id="rId8"/>
  </sheets>
  <calcPr calcId="145621"/>
</workbook>
</file>

<file path=xl/calcChain.xml><?xml version="1.0" encoding="utf-8"?>
<calcChain xmlns="http://schemas.openxmlformats.org/spreadsheetml/2006/main">
  <c r="M16" i="1" l="1"/>
  <c r="H4" i="9"/>
  <c r="H7" i="9"/>
  <c r="H8" i="9"/>
  <c r="H11" i="9"/>
  <c r="H12" i="9"/>
  <c r="H15" i="9"/>
  <c r="H16" i="9"/>
  <c r="I20" i="9"/>
  <c r="I19" i="9"/>
  <c r="I16" i="9"/>
  <c r="I15" i="9"/>
  <c r="I12" i="9"/>
  <c r="I11" i="9"/>
  <c r="I8" i="9"/>
  <c r="I7" i="9"/>
  <c r="I4" i="9"/>
  <c r="H19" i="9"/>
  <c r="H20" i="9"/>
  <c r="J20" i="10"/>
  <c r="J19" i="10"/>
  <c r="J16" i="10"/>
  <c r="J15" i="10"/>
  <c r="J12" i="10"/>
  <c r="J11" i="10"/>
  <c r="J8" i="10"/>
  <c r="J7" i="10"/>
  <c r="J4" i="10"/>
  <c r="H20" i="10"/>
  <c r="H19" i="10"/>
  <c r="H16" i="10"/>
  <c r="H15" i="10"/>
  <c r="H12" i="10"/>
  <c r="H11" i="10"/>
  <c r="I11" i="10" s="1"/>
  <c r="H8" i="10"/>
  <c r="I8" i="10" s="1"/>
  <c r="H7" i="10"/>
  <c r="H4" i="10"/>
  <c r="M32" i="1"/>
  <c r="M31" i="1"/>
  <c r="M28" i="1"/>
  <c r="M27" i="1"/>
  <c r="M24" i="1"/>
  <c r="M23" i="1"/>
  <c r="M20" i="1"/>
  <c r="M19" i="1"/>
  <c r="E20" i="10"/>
  <c r="E19" i="10"/>
  <c r="E16" i="10"/>
  <c r="I16" i="10" s="1"/>
  <c r="E15" i="10"/>
  <c r="E12" i="10"/>
  <c r="E11" i="10"/>
  <c r="E8" i="10"/>
  <c r="E7" i="10"/>
  <c r="I7" i="10" s="1"/>
  <c r="E4" i="10"/>
  <c r="L31" i="1"/>
  <c r="L32" i="1" s="1"/>
  <c r="L27" i="1"/>
  <c r="L28" i="1" s="1"/>
  <c r="L23" i="1"/>
  <c r="L24" i="1" s="1"/>
  <c r="L20" i="1"/>
  <c r="L19" i="1"/>
  <c r="G20" i="9"/>
  <c r="G19" i="9"/>
  <c r="G16" i="9"/>
  <c r="G15" i="9"/>
  <c r="F19" i="9" s="1"/>
  <c r="G12" i="9"/>
  <c r="G11" i="9"/>
  <c r="G8" i="9"/>
  <c r="G7" i="9"/>
  <c r="G4" i="9"/>
  <c r="F15" i="9" l="1"/>
  <c r="F11" i="9"/>
  <c r="F7" i="9"/>
  <c r="I15" i="10"/>
  <c r="I12" i="10"/>
  <c r="I19" i="10"/>
  <c r="I4" i="10"/>
  <c r="F7" i="10"/>
  <c r="I20" i="10"/>
  <c r="F19" i="10"/>
  <c r="F15" i="10"/>
  <c r="F11" i="10"/>
  <c r="C32" i="6" l="1"/>
  <c r="C31" i="6"/>
  <c r="C28" i="6"/>
  <c r="C27" i="6"/>
  <c r="C24" i="6"/>
  <c r="C23" i="6"/>
  <c r="C20" i="6"/>
  <c r="C19" i="6"/>
  <c r="C16" i="6"/>
  <c r="C13" i="6"/>
  <c r="C12" i="6"/>
  <c r="C11" i="6"/>
  <c r="B9" i="6"/>
  <c r="D28" i="6" s="1"/>
  <c r="C32" i="5"/>
  <c r="C31" i="5"/>
  <c r="C28" i="5"/>
  <c r="C27" i="5"/>
  <c r="C24" i="5"/>
  <c r="C23" i="5"/>
  <c r="C20" i="5"/>
  <c r="C19" i="5"/>
  <c r="C16" i="5"/>
  <c r="C13" i="5"/>
  <c r="C12" i="5"/>
  <c r="C11" i="5"/>
  <c r="B9" i="5"/>
  <c r="D28" i="5" s="1"/>
  <c r="D27" i="1"/>
  <c r="C32" i="1"/>
  <c r="C31" i="1"/>
  <c r="C28" i="1"/>
  <c r="C27" i="1"/>
  <c r="C24" i="1"/>
  <c r="C23" i="1"/>
  <c r="C20" i="1"/>
  <c r="C19" i="1"/>
  <c r="C16" i="1"/>
  <c r="C13" i="1"/>
  <c r="C12" i="1"/>
  <c r="C11" i="1"/>
  <c r="B9" i="1"/>
  <c r="D23" i="1" s="1"/>
  <c r="C32" i="2"/>
  <c r="C31" i="2"/>
  <c r="C28" i="2"/>
  <c r="C27" i="2"/>
  <c r="C24" i="2"/>
  <c r="C23" i="2"/>
  <c r="C20" i="2"/>
  <c r="C19" i="2"/>
  <c r="C16" i="2"/>
  <c r="C13" i="2"/>
  <c r="C12" i="2"/>
  <c r="C11" i="2"/>
  <c r="B9" i="2"/>
  <c r="D28" i="2" s="1"/>
  <c r="C22" i="7"/>
  <c r="F4" i="7"/>
  <c r="D21" i="7"/>
  <c r="D14" i="7"/>
  <c r="F21" i="7"/>
  <c r="F13" i="7"/>
  <c r="C13" i="7"/>
  <c r="F20" i="7"/>
  <c r="C12" i="7"/>
  <c r="C5" i="7"/>
  <c r="E20" i="7"/>
  <c r="D22" i="7"/>
  <c r="C20" i="7"/>
  <c r="F6" i="7"/>
  <c r="D6" i="7"/>
  <c r="E21" i="7"/>
  <c r="F5" i="7"/>
  <c r="C21" i="7"/>
  <c r="D5" i="7"/>
  <c r="E6" i="7"/>
  <c r="C4" i="7"/>
  <c r="E12" i="7"/>
  <c r="C6" i="7"/>
  <c r="D4" i="7"/>
  <c r="F14" i="7"/>
  <c r="E14" i="7"/>
  <c r="F12" i="7"/>
  <c r="C14" i="7"/>
  <c r="D13" i="7"/>
  <c r="E22" i="7"/>
  <c r="E4" i="7"/>
  <c r="F22" i="7"/>
  <c r="E13" i="7"/>
  <c r="E5" i="7"/>
  <c r="D20" i="7"/>
  <c r="D12" i="7"/>
  <c r="H28" i="6" l="1"/>
  <c r="F28" i="6"/>
  <c r="G28" i="6"/>
  <c r="I28" i="6" s="1"/>
  <c r="H28" i="5"/>
  <c r="F28" i="5"/>
  <c r="G28" i="5"/>
  <c r="I28" i="5" s="1"/>
  <c r="F28" i="2"/>
  <c r="G28" i="2"/>
  <c r="I28" i="2" s="1"/>
  <c r="H28" i="2"/>
  <c r="H27" i="1"/>
  <c r="G27" i="1"/>
  <c r="I27" i="1" s="1"/>
  <c r="F27" i="1"/>
  <c r="G23" i="1"/>
  <c r="I23" i="1" s="1"/>
  <c r="H23" i="1"/>
  <c r="F23" i="1"/>
  <c r="C23" i="7"/>
  <c r="D23" i="7"/>
  <c r="E23" i="7"/>
  <c r="F23" i="7"/>
  <c r="C15" i="7"/>
  <c r="C16" i="7" s="1"/>
  <c r="D15" i="7"/>
  <c r="E15" i="7"/>
  <c r="F15" i="7"/>
  <c r="D7" i="7"/>
  <c r="E7" i="7"/>
  <c r="F7" i="7"/>
  <c r="C7" i="7"/>
  <c r="D20" i="1"/>
  <c r="D24" i="1"/>
  <c r="D28" i="1"/>
  <c r="D31" i="1"/>
  <c r="D16" i="1"/>
  <c r="D32" i="1"/>
  <c r="D19" i="1"/>
  <c r="D27" i="6"/>
  <c r="D19" i="6"/>
  <c r="D16" i="6"/>
  <c r="D24" i="6"/>
  <c r="D32" i="6"/>
  <c r="D23" i="6"/>
  <c r="D31" i="6"/>
  <c r="D20" i="6"/>
  <c r="D23" i="5"/>
  <c r="D31" i="5"/>
  <c r="D19" i="5"/>
  <c r="D27" i="5"/>
  <c r="D16" i="5"/>
  <c r="D24" i="5"/>
  <c r="D32" i="5"/>
  <c r="D20" i="5"/>
  <c r="D19" i="2"/>
  <c r="D27" i="2"/>
  <c r="D16" i="2"/>
  <c r="D23" i="2"/>
  <c r="D31" i="2"/>
  <c r="D24" i="2"/>
  <c r="D32" i="2"/>
  <c r="D20" i="2"/>
  <c r="K8" i="7"/>
  <c r="L8" i="7"/>
  <c r="G32" i="6" l="1"/>
  <c r="I32" i="6" s="1"/>
  <c r="H32" i="6"/>
  <c r="F32" i="6"/>
  <c r="G31" i="6"/>
  <c r="I31" i="6" s="1"/>
  <c r="F31" i="6"/>
  <c r="H31" i="6"/>
  <c r="H27" i="6"/>
  <c r="F27" i="6"/>
  <c r="G27" i="6"/>
  <c r="I27" i="6" s="1"/>
  <c r="H24" i="6"/>
  <c r="F24" i="6"/>
  <c r="G24" i="6"/>
  <c r="I24" i="6" s="1"/>
  <c r="H23" i="6"/>
  <c r="G23" i="6"/>
  <c r="I23" i="6" s="1"/>
  <c r="F23" i="6"/>
  <c r="F20" i="6"/>
  <c r="G20" i="6"/>
  <c r="I20" i="6" s="1"/>
  <c r="H20" i="6"/>
  <c r="H19" i="6"/>
  <c r="G19" i="6"/>
  <c r="I19" i="6" s="1"/>
  <c r="F19" i="6"/>
  <c r="G32" i="5"/>
  <c r="I32" i="5" s="1"/>
  <c r="F32" i="5"/>
  <c r="H32" i="5"/>
  <c r="G31" i="5"/>
  <c r="I31" i="5" s="1"/>
  <c r="F31" i="5"/>
  <c r="H31" i="5"/>
  <c r="G27" i="5"/>
  <c r="I27" i="5" s="1"/>
  <c r="H27" i="5"/>
  <c r="F27" i="5"/>
  <c r="H24" i="5"/>
  <c r="F24" i="5"/>
  <c r="G24" i="5"/>
  <c r="I24" i="5" s="1"/>
  <c r="F23" i="5"/>
  <c r="G23" i="5"/>
  <c r="I23" i="5" s="1"/>
  <c r="H23" i="5"/>
  <c r="F20" i="5"/>
  <c r="G20" i="5"/>
  <c r="I20" i="5" s="1"/>
  <c r="H20" i="5"/>
  <c r="F19" i="5"/>
  <c r="H19" i="5"/>
  <c r="G19" i="5"/>
  <c r="H32" i="2"/>
  <c r="F32" i="2"/>
  <c r="G32" i="2"/>
  <c r="I32" i="2" s="1"/>
  <c r="G31" i="2"/>
  <c r="I31" i="2" s="1"/>
  <c r="F31" i="2"/>
  <c r="H31" i="2"/>
  <c r="F27" i="2"/>
  <c r="G27" i="2"/>
  <c r="I27" i="2" s="1"/>
  <c r="H27" i="2"/>
  <c r="H24" i="2"/>
  <c r="G24" i="2"/>
  <c r="I24" i="2" s="1"/>
  <c r="F24" i="2"/>
  <c r="G23" i="2"/>
  <c r="I23" i="2" s="1"/>
  <c r="F23" i="2"/>
  <c r="H23" i="2"/>
  <c r="F20" i="2"/>
  <c r="H20" i="2"/>
  <c r="G20" i="2"/>
  <c r="I20" i="2" s="1"/>
  <c r="H19" i="2"/>
  <c r="G19" i="2"/>
  <c r="F19" i="2"/>
  <c r="F32" i="1"/>
  <c r="G32" i="1"/>
  <c r="I32" i="1" s="1"/>
  <c r="H32" i="1"/>
  <c r="H31" i="1"/>
  <c r="F31" i="1"/>
  <c r="G31" i="1"/>
  <c r="I31" i="1" s="1"/>
  <c r="G28" i="1"/>
  <c r="I28" i="1" s="1"/>
  <c r="F28" i="1"/>
  <c r="H28" i="1"/>
  <c r="H24" i="1"/>
  <c r="F24" i="1"/>
  <c r="G24" i="1"/>
  <c r="I24" i="1" s="1"/>
  <c r="G20" i="1"/>
  <c r="I20" i="1" s="1"/>
  <c r="H20" i="1"/>
  <c r="F20" i="1"/>
  <c r="H19" i="1"/>
  <c r="G19" i="1"/>
  <c r="F19" i="1"/>
  <c r="H16" i="6"/>
  <c r="G16" i="6"/>
  <c r="F16" i="6"/>
  <c r="H16" i="5"/>
  <c r="G16" i="5"/>
  <c r="F16" i="5"/>
  <c r="F16" i="2"/>
  <c r="G16" i="2"/>
  <c r="H16" i="2"/>
  <c r="H16" i="1"/>
  <c r="G16" i="1"/>
  <c r="F16" i="1"/>
  <c r="F26" i="7"/>
  <c r="E26" i="7"/>
  <c r="D26" i="7"/>
  <c r="C26" i="7"/>
  <c r="D9" i="7"/>
  <c r="F9" i="7"/>
  <c r="E9" i="7"/>
  <c r="C9" i="7"/>
  <c r="C24" i="7"/>
  <c r="C25" i="7"/>
  <c r="F24" i="7"/>
  <c r="F25" i="7"/>
  <c r="E24" i="7"/>
  <c r="E25" i="7"/>
  <c r="D24" i="7"/>
  <c r="D25" i="7"/>
  <c r="D16" i="7"/>
  <c r="D17" i="7"/>
  <c r="C17" i="7"/>
  <c r="E16" i="7"/>
  <c r="E17" i="7"/>
  <c r="F16" i="7"/>
  <c r="F17" i="7"/>
  <c r="F8" i="7"/>
  <c r="E8" i="7"/>
  <c r="D8" i="7"/>
  <c r="C8" i="7"/>
  <c r="G7" i="7"/>
  <c r="G25" i="7"/>
  <c r="G16" i="7"/>
  <c r="N6" i="7"/>
  <c r="M6" i="7"/>
  <c r="L6" i="7"/>
  <c r="K6" i="7"/>
  <c r="N4" i="7"/>
  <c r="M4" i="7"/>
  <c r="L4" i="7"/>
  <c r="K4" i="7"/>
  <c r="N16" i="7"/>
  <c r="N15" i="7"/>
  <c r="N14" i="7"/>
  <c r="M14" i="7"/>
  <c r="M16" i="7"/>
  <c r="M15" i="7"/>
  <c r="L16" i="7"/>
  <c r="L15" i="7"/>
  <c r="L14" i="7"/>
  <c r="K16" i="7"/>
  <c r="K15" i="7"/>
  <c r="K14" i="7"/>
  <c r="M10" i="7"/>
  <c r="N8" i="7"/>
  <c r="M9" i="7"/>
  <c r="M8" i="7"/>
  <c r="K10" i="7"/>
  <c r="L10" i="7"/>
  <c r="I19" i="5" l="1"/>
  <c r="I19" i="2"/>
  <c r="I19" i="1"/>
  <c r="I16" i="6"/>
  <c r="I16" i="5"/>
  <c r="I16" i="2"/>
  <c r="O16" i="7"/>
  <c r="O14" i="7"/>
  <c r="O15" i="7"/>
  <c r="I16" i="1"/>
  <c r="M5" i="7"/>
  <c r="M7" i="7" s="1"/>
  <c r="N17" i="7"/>
  <c r="M17" i="7"/>
  <c r="L17" i="7"/>
  <c r="K17" i="7"/>
  <c r="L9" i="7"/>
  <c r="N10" i="7"/>
  <c r="N9" i="7"/>
  <c r="K9" i="7"/>
  <c r="K24" i="7"/>
  <c r="L24" i="7"/>
  <c r="M24" i="7"/>
  <c r="N24" i="7"/>
  <c r="N19" i="7"/>
  <c r="I4" i="6" l="1"/>
  <c r="I4" i="5"/>
  <c r="I4" i="2"/>
  <c r="I4" i="1"/>
  <c r="O17" i="7"/>
  <c r="L5" i="7"/>
  <c r="L7" i="7" s="1"/>
  <c r="K5" i="7"/>
  <c r="K7" i="7" s="1"/>
  <c r="N5" i="7"/>
  <c r="N7" i="7" s="1"/>
  <c r="L19" i="7"/>
  <c r="N22" i="7"/>
  <c r="L21" i="7"/>
  <c r="K19" i="7"/>
  <c r="N23" i="7"/>
  <c r="L22" i="7"/>
  <c r="K21" i="7"/>
  <c r="M23" i="7"/>
  <c r="M22" i="7"/>
  <c r="M19" i="7"/>
  <c r="K23" i="7"/>
  <c r="M21" i="7"/>
  <c r="N21" i="7"/>
  <c r="L23" i="7"/>
  <c r="K22" i="7"/>
  <c r="H4" i="6" l="1"/>
  <c r="F4" i="6"/>
  <c r="G4" i="6"/>
  <c r="H4" i="5"/>
  <c r="F4" i="5"/>
  <c r="G4" i="5"/>
  <c r="H4" i="2"/>
  <c r="F4" i="2"/>
  <c r="G4" i="2"/>
  <c r="H4" i="1"/>
  <c r="G4" i="1"/>
  <c r="F4" i="1"/>
  <c r="L25" i="7"/>
  <c r="G5" i="6" s="1"/>
  <c r="M25" i="7"/>
  <c r="H5" i="6" s="1"/>
  <c r="K25" i="7"/>
  <c r="F5" i="6" s="1"/>
  <c r="N25" i="7"/>
  <c r="I5" i="6" s="1"/>
  <c r="I5" i="2" l="1"/>
  <c r="I5" i="5"/>
  <c r="H5" i="2"/>
  <c r="H5" i="5"/>
  <c r="F5" i="2"/>
  <c r="F5" i="5"/>
  <c r="G5" i="2"/>
  <c r="G5" i="5"/>
  <c r="L27" i="7"/>
  <c r="G3" i="1" s="1"/>
  <c r="G5" i="1"/>
  <c r="N27" i="7"/>
  <c r="I3" i="5" s="1"/>
  <c r="I5" i="1"/>
  <c r="M27" i="7"/>
  <c r="H3" i="1" s="1"/>
  <c r="H5" i="1"/>
  <c r="K27" i="7"/>
  <c r="F3" i="1" s="1"/>
  <c r="F5" i="1"/>
  <c r="G3" i="5" l="1"/>
  <c r="G3" i="6"/>
  <c r="G3" i="2"/>
  <c r="I3" i="2"/>
  <c r="I3" i="1"/>
  <c r="H3" i="2"/>
  <c r="I3" i="6"/>
  <c r="F3" i="5"/>
  <c r="H3" i="6"/>
  <c r="H3" i="5"/>
  <c r="F3" i="6"/>
  <c r="F3" i="2"/>
</calcChain>
</file>

<file path=xl/sharedStrings.xml><?xml version="1.0" encoding="utf-8"?>
<sst xmlns="http://schemas.openxmlformats.org/spreadsheetml/2006/main" count="269" uniqueCount="99">
  <si>
    <t>Laser</t>
  </si>
  <si>
    <t>Kinetic</t>
  </si>
  <si>
    <t>Cooldown</t>
  </si>
  <si>
    <t>Critical</t>
  </si>
  <si>
    <t>Shield Penet</t>
  </si>
  <si>
    <t>Hull Penet</t>
  </si>
  <si>
    <t>Long range</t>
  </si>
  <si>
    <t>Medium range</t>
  </si>
  <si>
    <t>Short range</t>
  </si>
  <si>
    <t>ERA 1</t>
  </si>
  <si>
    <t>Damage</t>
  </si>
  <si>
    <t>ERA 2</t>
  </si>
  <si>
    <t>Ress damage</t>
  </si>
  <si>
    <t>ERA 3</t>
  </si>
  <si>
    <t>ERA 4</t>
  </si>
  <si>
    <t>ERA 5</t>
  </si>
  <si>
    <t>Damage per sec</t>
  </si>
  <si>
    <t>Hits per phase</t>
  </si>
  <si>
    <t>Damage per phase</t>
  </si>
  <si>
    <t>Beam</t>
  </si>
  <si>
    <t>Time in phase</t>
  </si>
  <si>
    <t>Missile</t>
  </si>
  <si>
    <t>Want Short Range</t>
  </si>
  <si>
    <t>Opponent choose Short</t>
  </si>
  <si>
    <t>Opponent choose Medium</t>
  </si>
  <si>
    <t>Opponent choose Long</t>
  </si>
  <si>
    <t>Want Medium Range</t>
  </si>
  <si>
    <t>Want Long Range</t>
  </si>
  <si>
    <t>SSS</t>
  </si>
  <si>
    <t>LLL</t>
  </si>
  <si>
    <t>MMM</t>
  </si>
  <si>
    <t>MSS</t>
  </si>
  <si>
    <t>LMS</t>
  </si>
  <si>
    <t>LMM</t>
  </si>
  <si>
    <t>ERA 2 (norm)</t>
  </si>
  <si>
    <t>ERA 2 (ress)</t>
  </si>
  <si>
    <t>ERA 3 (norm)</t>
  </si>
  <si>
    <t>ERA 3 (ress)</t>
  </si>
  <si>
    <t>ERA 4 (norm)</t>
  </si>
  <si>
    <t>ERA 4 (ress)</t>
  </si>
  <si>
    <t>ERA 5 (norm)</t>
  </si>
  <si>
    <t>Best scenario</t>
  </si>
  <si>
    <t>Sum</t>
  </si>
  <si>
    <t>ERA 5 (ress)</t>
  </si>
  <si>
    <t>Worse scenario</t>
  </si>
  <si>
    <t>Middle scenario</t>
  </si>
  <si>
    <t>Card choice flexibility (%)</t>
  </si>
  <si>
    <t>Sums scenarios</t>
  </si>
  <si>
    <t>Damage variance</t>
  </si>
  <si>
    <t>Mean phase without offense</t>
  </si>
  <si>
    <t>Best damage scenario</t>
  </si>
  <si>
    <t>Less tank scenario</t>
  </si>
  <si>
    <t>Best stable in damage scenario</t>
  </si>
  <si>
    <t>Risk / reward (higher the best)</t>
  </si>
  <si>
    <t>Ships</t>
  </si>
  <si>
    <t>Various data for ships</t>
  </si>
  <si>
    <t>Ship HP: small</t>
  </si>
  <si>
    <t>Ship HP: medium</t>
  </si>
  <si>
    <t>Ship HP: big</t>
  </si>
  <si>
    <t>Ship weakness</t>
  </si>
  <si>
    <t>Shields</t>
  </si>
  <si>
    <t>Normal T1</t>
  </si>
  <si>
    <t>Normal T2</t>
  </si>
  <si>
    <t>Normal T3</t>
  </si>
  <si>
    <t>Normal T4</t>
  </si>
  <si>
    <t>Normal T5</t>
  </si>
  <si>
    <t>Ressource T4</t>
  </si>
  <si>
    <t>Ressource T1</t>
  </si>
  <si>
    <t>Ressource T2</t>
  </si>
  <si>
    <t>Ressource T3</t>
  </si>
  <si>
    <t>HealthBonus</t>
  </si>
  <si>
    <t>Absorption</t>
  </si>
  <si>
    <t>Bonus</t>
  </si>
  <si>
    <t>Hull Plating</t>
  </si>
  <si>
    <t>(gross estimate)</t>
  </si>
  <si>
    <t>No shield + No plate</t>
  </si>
  <si>
    <t>Shield + No plate</t>
  </si>
  <si>
    <t>No Shield + Plate</t>
  </si>
  <si>
    <t>Shield + Plate</t>
  </si>
  <si>
    <t>Shield, Hull : N, N</t>
  </si>
  <si>
    <t>Shield, Hull : Y, N</t>
  </si>
  <si>
    <t>Shield, Hull : N, Y</t>
  </si>
  <si>
    <t>Shield, Hull : Y, Y</t>
  </si>
  <si>
    <t>&lt;== estimator : ((N,N) + 2x(Y,N) + 2x(N,Y) + (Y,Y)) / 6 : you will found 33% shield, 33% hull, 16% nothing, 16% both</t>
  </si>
  <si>
    <t>Mean damage</t>
  </si>
  <si>
    <t>Damages per phase at 100% distance</t>
  </si>
  <si>
    <t>Mean d. output in battle (best damage scenario)</t>
  </si>
  <si>
    <t>Kinetic damage on shooter (best damage scenario)</t>
  </si>
  <si>
    <t>Beam damage on shooter (best damage scenario)</t>
  </si>
  <si>
    <t>Missile damage on shooter (best damage scenario)</t>
  </si>
  <si>
    <t>Laser damage on shooter (best damage scenario)</t>
  </si>
  <si>
    <t>Mean d. input in battle (best damage scenario)</t>
  </si>
  <si>
    <t>Balance</t>
  </si>
  <si>
    <t>Output</t>
  </si>
  <si>
    <t>Input</t>
  </si>
  <si>
    <t>WEAPON LINE</t>
  </si>
  <si>
    <t>B&amp;M</t>
  </si>
  <si>
    <t>K&amp;L</t>
  </si>
  <si>
    <t>Moy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</si>
</sst>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2" fillId="2" borderId="0" xfId="0" applyFont="1" applyFill="1"/>
    <xf numFmtId="0" fontId="2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3" borderId="0" xfId="0" applyNumberFormat="1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0" fillId="4" borderId="0" xfId="0" applyNumberFormat="1" applyFill="1"/>
    <xf numFmtId="0" fontId="2" fillId="3" borderId="0" xfId="0" applyFont="1" applyFill="1"/>
    <xf numFmtId="0" fontId="3" fillId="3" borderId="0" xfId="0" applyFont="1" applyFill="1"/>
    <xf numFmtId="0" fontId="3" fillId="3" borderId="0" xfId="0" applyNumberFormat="1" applyFont="1" applyFill="1"/>
    <xf numFmtId="0" fontId="2" fillId="4" borderId="0" xfId="0" applyFont="1" applyFill="1"/>
    <xf numFmtId="0" fontId="3" fillId="4" borderId="0" xfId="0" applyFont="1" applyFill="1"/>
    <xf numFmtId="0" fontId="3" fillId="4" borderId="0" xfId="0" applyNumberFormat="1" applyFont="1" applyFill="1"/>
    <xf numFmtId="0" fontId="1" fillId="5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11" sqref="D11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4.570312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  <col min="12" max="12" width="6.5703125" bestFit="1" customWidth="1"/>
  </cols>
  <sheetData>
    <row r="1" spans="1:13" x14ac:dyDescent="0.25">
      <c r="F1" s="2" t="s">
        <v>92</v>
      </c>
    </row>
    <row r="2" spans="1:13" x14ac:dyDescent="0.25">
      <c r="A2" s="2" t="s">
        <v>1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3" x14ac:dyDescent="0.25">
      <c r="A3" t="s">
        <v>2</v>
      </c>
      <c r="B3">
        <v>1.7</v>
      </c>
      <c r="F3" s="28">
        <f ca="1">Balance!K27</f>
        <v>1.2878326907019446</v>
      </c>
      <c r="G3" s="28">
        <f ca="1">Balance!L27</f>
        <v>1.4835610837134148</v>
      </c>
      <c r="H3" s="28">
        <f ca="1">Balance!M27</f>
        <v>1.516649451372138</v>
      </c>
      <c r="I3" s="28">
        <f ca="1">Balance!N27</f>
        <v>1.3329989694008766</v>
      </c>
    </row>
    <row r="4" spans="1:13" x14ac:dyDescent="0.25">
      <c r="A4" t="s">
        <v>3</v>
      </c>
      <c r="B4">
        <v>0</v>
      </c>
      <c r="F4" s="3">
        <f ca="1">Balance!K19</f>
        <v>589.68697575193278</v>
      </c>
      <c r="G4" s="3">
        <f ca="1">Balance!L19</f>
        <v>679.30924188714766</v>
      </c>
      <c r="H4" s="3">
        <f ca="1">Balance!M19</f>
        <v>673.44588514936117</v>
      </c>
      <c r="I4" s="3">
        <f ca="1">Balance!N19</f>
        <v>591.89858938015834</v>
      </c>
      <c r="J4" s="3" t="s">
        <v>93</v>
      </c>
    </row>
    <row r="5" spans="1:13" x14ac:dyDescent="0.25">
      <c r="A5" t="s">
        <v>4</v>
      </c>
      <c r="B5">
        <v>0.8</v>
      </c>
      <c r="F5" s="3">
        <f ca="1">Balance!K25</f>
        <v>457.89098227543724</v>
      </c>
      <c r="G5" s="3">
        <f ca="1">Balance!L25</f>
        <v>457.89098227543724</v>
      </c>
      <c r="H5" s="3">
        <f ca="1">Balance!M25</f>
        <v>444.03529407542624</v>
      </c>
      <c r="I5" s="3">
        <f ca="1">Balance!N25</f>
        <v>444.03529407542624</v>
      </c>
      <c r="J5" s="3" t="s">
        <v>94</v>
      </c>
    </row>
    <row r="6" spans="1:13" x14ac:dyDescent="0.25">
      <c r="A6" t="s">
        <v>5</v>
      </c>
      <c r="B6">
        <v>0.3</v>
      </c>
    </row>
    <row r="8" spans="1:13" x14ac:dyDescent="0.25">
      <c r="A8" s="3" t="s">
        <v>20</v>
      </c>
      <c r="B8">
        <v>40</v>
      </c>
    </row>
    <row r="9" spans="1:13" x14ac:dyDescent="0.25">
      <c r="A9" s="3" t="s">
        <v>17</v>
      </c>
      <c r="B9">
        <f>1+FLOOR(B8/B3,1)</f>
        <v>24</v>
      </c>
    </row>
    <row r="11" spans="1:13" x14ac:dyDescent="0.25">
      <c r="A11" t="s">
        <v>6</v>
      </c>
      <c r="B11" s="29">
        <v>0.62</v>
      </c>
      <c r="C11">
        <f>100-B11*100</f>
        <v>38</v>
      </c>
    </row>
    <row r="12" spans="1:13" x14ac:dyDescent="0.25">
      <c r="A12" t="s">
        <v>7</v>
      </c>
      <c r="B12" s="29">
        <v>0.38</v>
      </c>
      <c r="C12">
        <f t="shared" ref="C12:C13" si="0">100-B12*100</f>
        <v>62</v>
      </c>
    </row>
    <row r="13" spans="1:13" x14ac:dyDescent="0.25">
      <c r="A13" t="s">
        <v>8</v>
      </c>
      <c r="B13" s="29">
        <v>0</v>
      </c>
      <c r="C13">
        <f t="shared" si="0"/>
        <v>100</v>
      </c>
    </row>
    <row r="15" spans="1:13" x14ac:dyDescent="0.25">
      <c r="A15" s="1" t="s">
        <v>9</v>
      </c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97</v>
      </c>
      <c r="L15" t="s">
        <v>96</v>
      </c>
    </row>
    <row r="16" spans="1:13" x14ac:dyDescent="0.25">
      <c r="A16" t="s">
        <v>10</v>
      </c>
      <c r="B16" s="29">
        <v>6.25</v>
      </c>
      <c r="C16">
        <f>B16/$B$3</f>
        <v>3.6764705882352944</v>
      </c>
      <c r="D16">
        <f>$B$9*B16</f>
        <v>150</v>
      </c>
      <c r="F16">
        <f>D16</f>
        <v>150</v>
      </c>
      <c r="G16">
        <f>D16 - ((1-$B$5)*D16*Shield!C4/(Shield!C4+Ships!B4))</f>
        <v>143.07692307692307</v>
      </c>
      <c r="H16">
        <f>D16 - ((1-$B$6)*D16*Plating!C4/(Plating!C4+Ships!B4))</f>
        <v>132.5</v>
      </c>
      <c r="I16">
        <f>G16 - ((1-$B$6)*G16*Plating!C4/(Plating!C4+Ships!B4))</f>
        <v>126.38461538461537</v>
      </c>
      <c r="K16">
        <v>350</v>
      </c>
      <c r="L16">
        <v>400</v>
      </c>
      <c r="M16">
        <f>0.5*(K16+L16)</f>
        <v>375</v>
      </c>
    </row>
    <row r="18" spans="1:13" x14ac:dyDescent="0.25">
      <c r="A18" s="1" t="s">
        <v>11</v>
      </c>
    </row>
    <row r="19" spans="1:13" x14ac:dyDescent="0.25">
      <c r="A19" t="s">
        <v>10</v>
      </c>
      <c r="B19" s="29">
        <v>6.78</v>
      </c>
      <c r="C19">
        <f>B19/$B$3</f>
        <v>3.9882352941176471</v>
      </c>
      <c r="D19">
        <f>$B$9*B19</f>
        <v>162.72</v>
      </c>
      <c r="F19">
        <f>D19</f>
        <v>162.72</v>
      </c>
      <c r="G19">
        <f>D19 - ((1-$B$5)*D19*Shield!C7/(Shield!C7+Ships!B7))</f>
        <v>162.20749606299213</v>
      </c>
      <c r="H19">
        <f>D19 - ((1-$B$6)*D19*Plating!C7/(Plating!C7+Ships!B7))</f>
        <v>161.51784696569922</v>
      </c>
      <c r="I19">
        <f>G19 - ((1-$B$6)*G19*Plating!C7/(Plating!C7+Ships!B7))</f>
        <v>161.00912933746079</v>
      </c>
      <c r="K19">
        <v>410</v>
      </c>
      <c r="L19">
        <f>(L16*K19)/K16</f>
        <v>468.57142857142856</v>
      </c>
      <c r="M19">
        <f t="shared" ref="M17:M32" si="1">0.5*(K19+L19)</f>
        <v>439.28571428571428</v>
      </c>
    </row>
    <row r="20" spans="1:13" x14ac:dyDescent="0.25">
      <c r="A20" t="s">
        <v>12</v>
      </c>
      <c r="B20" s="29">
        <v>9.6999999999999993</v>
      </c>
      <c r="C20">
        <f>B20/$B$3</f>
        <v>5.7058823529411766</v>
      </c>
      <c r="D20">
        <f>$B$9*B20</f>
        <v>232.79999999999998</v>
      </c>
      <c r="F20">
        <f>D20</f>
        <v>232.79999999999998</v>
      </c>
      <c r="G20">
        <f>D20 - ((1-$B$5)*D20*Shield!C8/(Shield!C8+Ships!B8))</f>
        <v>232.42029534934977</v>
      </c>
      <c r="H20">
        <f>D20 - ((1-$B$6)*D20*Plating!C8/(Plating!C8+Ships!B8))</f>
        <v>231.89966850828728</v>
      </c>
      <c r="I20">
        <f>G20 - ((1-$B$6)*G20*Plating!C8/(Plating!C8+Ships!B8))</f>
        <v>231.52143232866169</v>
      </c>
      <c r="K20">
        <v>590</v>
      </c>
      <c r="L20">
        <f>(K20*L19)/K19</f>
        <v>674.28571428571422</v>
      </c>
      <c r="M20">
        <f t="shared" si="1"/>
        <v>632.14285714285711</v>
      </c>
    </row>
    <row r="22" spans="1:13" x14ac:dyDescent="0.25">
      <c r="A22" s="1" t="s">
        <v>13</v>
      </c>
    </row>
    <row r="23" spans="1:13" x14ac:dyDescent="0.25">
      <c r="A23" t="s">
        <v>10</v>
      </c>
      <c r="B23" s="29">
        <v>15.2</v>
      </c>
      <c r="C23">
        <f>B23/$B$3</f>
        <v>8.9411764705882355</v>
      </c>
      <c r="D23">
        <f>$B$9*B23</f>
        <v>364.79999999999995</v>
      </c>
      <c r="F23">
        <f>D23</f>
        <v>364.79999999999995</v>
      </c>
      <c r="G23">
        <f>D23 - ((1-$B$5)*D23*Shield!C11/(Shield!C11+Ships!B11))</f>
        <v>291.83999999999997</v>
      </c>
      <c r="H23">
        <f>D23 - ((1-$B$6)*D23*Plating!C11/(Plating!C11+Ships!B11))</f>
        <v>109.43999999999997</v>
      </c>
      <c r="I23">
        <f>G23 - ((1-$B$6)*G23*Plating!C11/(Plating!C11+Ships!B11))</f>
        <v>87.551999999999992</v>
      </c>
      <c r="K23">
        <v>530</v>
      </c>
      <c r="L23">
        <f>(L20*K23)/K20</f>
        <v>605.71428571428567</v>
      </c>
      <c r="M23">
        <f t="shared" si="1"/>
        <v>567.85714285714289</v>
      </c>
    </row>
    <row r="24" spans="1:13" x14ac:dyDescent="0.25">
      <c r="A24" t="s">
        <v>12</v>
      </c>
      <c r="B24" s="29">
        <v>23.2</v>
      </c>
      <c r="C24">
        <f>B24/$B$3</f>
        <v>13.647058823529411</v>
      </c>
      <c r="D24">
        <f>$B$9*B24</f>
        <v>556.79999999999995</v>
      </c>
      <c r="F24">
        <f>D24</f>
        <v>556.79999999999995</v>
      </c>
      <c r="G24">
        <f>D24 - ((1-$B$5)*D24*Shield!C12/(Shield!C12+Ships!B12))</f>
        <v>445.44</v>
      </c>
      <c r="H24">
        <f>D24 - ((1-$B$6)*D24*Plating!C12/(Plating!C12+Ships!B12))</f>
        <v>167.04000000000002</v>
      </c>
      <c r="I24">
        <f>G24 - ((1-$B$6)*G24*Plating!C12/(Plating!C12+Ships!B12))</f>
        <v>133.63200000000001</v>
      </c>
      <c r="K24">
        <v>810</v>
      </c>
      <c r="L24">
        <f>(K24*L23)/K23</f>
        <v>925.71428571428555</v>
      </c>
      <c r="M24">
        <f t="shared" si="1"/>
        <v>867.85714285714278</v>
      </c>
    </row>
    <row r="26" spans="1:13" x14ac:dyDescent="0.25">
      <c r="A26" s="1" t="s">
        <v>14</v>
      </c>
    </row>
    <row r="27" spans="1:13" x14ac:dyDescent="0.25">
      <c r="A27" t="s">
        <v>10</v>
      </c>
      <c r="B27" s="29">
        <v>20.3</v>
      </c>
      <c r="C27">
        <f>B27/$B$3</f>
        <v>11.941176470588236</v>
      </c>
      <c r="D27">
        <f>$B$9*B27</f>
        <v>487.20000000000005</v>
      </c>
      <c r="F27">
        <f>D27</f>
        <v>487.20000000000005</v>
      </c>
      <c r="G27">
        <f>D27 - ((1-$B$5)*D27*Shield!C15/(Shield!C15+Ships!B15))</f>
        <v>389.76000000000005</v>
      </c>
      <c r="H27">
        <f>D27 - ((1-$B$6)*D27*Plating!C15/(Plating!C15+Ships!B15))</f>
        <v>146.16000000000003</v>
      </c>
      <c r="I27">
        <f>G27 - ((1-$B$6)*G27*Plating!C15/(Plating!C15+Ships!B15))</f>
        <v>116.92800000000005</v>
      </c>
      <c r="K27">
        <v>710</v>
      </c>
      <c r="L27">
        <f>(L24*K27)/K24</f>
        <v>811.42857142857122</v>
      </c>
      <c r="M27">
        <f t="shared" si="1"/>
        <v>760.71428571428555</v>
      </c>
    </row>
    <row r="28" spans="1:13" x14ac:dyDescent="0.25">
      <c r="A28" t="s">
        <v>12</v>
      </c>
      <c r="B28" s="29">
        <v>32</v>
      </c>
      <c r="C28">
        <f>B28/$B$3</f>
        <v>18.823529411764707</v>
      </c>
      <c r="D28">
        <f>$B$9*B28</f>
        <v>768</v>
      </c>
      <c r="F28">
        <f>D28</f>
        <v>768</v>
      </c>
      <c r="G28">
        <f>D28 - ((1-$B$5)*D28*Shield!C16/(Shield!C16+Ships!B16))</f>
        <v>614.40000000000009</v>
      </c>
      <c r="H28">
        <f>D28 - ((1-$B$6)*D28*Plating!C16/(Plating!C16+Ships!B16))</f>
        <v>230.40000000000009</v>
      </c>
      <c r="I28">
        <f>G28 - ((1-$B$6)*G28*Plating!C16/(Plating!C16+Ships!B16))</f>
        <v>184.32000000000005</v>
      </c>
      <c r="K28">
        <v>1110</v>
      </c>
      <c r="L28">
        <f>(K28*L27)/K27</f>
        <v>1268.5714285714282</v>
      </c>
      <c r="M28">
        <f t="shared" si="1"/>
        <v>1189.2857142857142</v>
      </c>
    </row>
    <row r="30" spans="1:13" x14ac:dyDescent="0.25">
      <c r="A30" s="1" t="s">
        <v>15</v>
      </c>
    </row>
    <row r="31" spans="1:13" x14ac:dyDescent="0.25">
      <c r="A31" t="s">
        <v>10</v>
      </c>
      <c r="B31" s="29">
        <v>29</v>
      </c>
      <c r="C31">
        <f>B31/$B$3</f>
        <v>17.058823529411764</v>
      </c>
      <c r="D31">
        <f>$B$9*B31</f>
        <v>696</v>
      </c>
      <c r="F31">
        <f>D31</f>
        <v>696</v>
      </c>
      <c r="G31">
        <f>D31 - ((1-$B$5)*D31*Shield!C19/(Shield!C19+Ships!B19))</f>
        <v>556.80000000000007</v>
      </c>
      <c r="H31">
        <f>D31 - ((1-$B$6)*D31*Plating!C19/(Plating!C19+Ships!B19))</f>
        <v>208.8</v>
      </c>
      <c r="I31">
        <f>G31 - ((1-$B$6)*G31*Plating!C19/(Plating!C19+Ships!B19))</f>
        <v>167.04000000000002</v>
      </c>
      <c r="K31">
        <v>1010</v>
      </c>
      <c r="L31">
        <f>(L28*K31)/K28</f>
        <v>1154.285714285714</v>
      </c>
      <c r="M31">
        <f t="shared" si="1"/>
        <v>1082.1428571428569</v>
      </c>
    </row>
    <row r="32" spans="1:13" x14ac:dyDescent="0.25">
      <c r="A32" t="s">
        <v>12</v>
      </c>
      <c r="B32" s="29">
        <v>47</v>
      </c>
      <c r="C32">
        <f>B32/$B$3</f>
        <v>27.647058823529413</v>
      </c>
      <c r="D32">
        <f>$B$9*B32</f>
        <v>1128</v>
      </c>
      <c r="F32">
        <f>D32</f>
        <v>1128</v>
      </c>
      <c r="G32">
        <f>D32 - ((1-$B$5)*D32*Shield!C20/(Shield!C20+Ships!B20))</f>
        <v>902.40000000000009</v>
      </c>
      <c r="H32">
        <f>D32 - ((1-$B$6)*D32*Plating!C20/(Plating!C20+Ships!B20))</f>
        <v>338.40000000000009</v>
      </c>
      <c r="I32">
        <f>G32 - ((1-$B$6)*G32*Plating!C20/(Plating!C20+Ships!B20))</f>
        <v>270.72000000000003</v>
      </c>
      <c r="K32">
        <v>1650</v>
      </c>
      <c r="L32">
        <f>(K32*L31)/K31</f>
        <v>1885.7142857142853</v>
      </c>
      <c r="M32">
        <f t="shared" si="1"/>
        <v>1767.8571428571427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1" sqref="D11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6.710937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</cols>
  <sheetData>
    <row r="1" spans="1:11" x14ac:dyDescent="0.25">
      <c r="F1" s="2" t="s">
        <v>92</v>
      </c>
    </row>
    <row r="2" spans="1:11" x14ac:dyDescent="0.25">
      <c r="A2" s="2" t="s">
        <v>19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1" x14ac:dyDescent="0.25">
      <c r="A3" t="s">
        <v>2</v>
      </c>
      <c r="B3">
        <v>6.8</v>
      </c>
      <c r="F3" s="28">
        <f ca="1">Balance!K27</f>
        <v>1.2878326907019446</v>
      </c>
      <c r="G3" s="28">
        <f ca="1">Balance!L27</f>
        <v>1.4835610837134148</v>
      </c>
      <c r="H3" s="28">
        <f ca="1">Balance!M27</f>
        <v>1.516649451372138</v>
      </c>
      <c r="I3" s="28">
        <f ca="1">Balance!N27</f>
        <v>1.3329989694008766</v>
      </c>
    </row>
    <row r="4" spans="1:11" x14ac:dyDescent="0.25">
      <c r="A4" t="s">
        <v>3</v>
      </c>
      <c r="B4">
        <v>0</v>
      </c>
      <c r="F4" s="3">
        <f ca="1">Balance!K19</f>
        <v>589.68697575193278</v>
      </c>
      <c r="G4" s="3">
        <f ca="1">Balance!L19</f>
        <v>679.30924188714766</v>
      </c>
      <c r="H4" s="3">
        <f ca="1">Balance!M19</f>
        <v>673.44588514936117</v>
      </c>
      <c r="I4" s="3">
        <f ca="1">Balance!N19</f>
        <v>591.89858938015834</v>
      </c>
      <c r="J4" s="3" t="s">
        <v>93</v>
      </c>
    </row>
    <row r="5" spans="1:11" x14ac:dyDescent="0.25">
      <c r="A5" t="s">
        <v>4</v>
      </c>
      <c r="B5">
        <v>0.1</v>
      </c>
      <c r="F5" s="3">
        <f ca="1">Balance!K25</f>
        <v>457.89098227543724</v>
      </c>
      <c r="G5" s="3">
        <f ca="1">Balance!L25</f>
        <v>457.89098227543724</v>
      </c>
      <c r="H5" s="3">
        <f ca="1">Balance!M25</f>
        <v>444.03529407542624</v>
      </c>
      <c r="I5" s="3">
        <f ca="1">Balance!N25</f>
        <v>444.03529407542624</v>
      </c>
      <c r="J5" s="3" t="s">
        <v>94</v>
      </c>
    </row>
    <row r="6" spans="1:11" x14ac:dyDescent="0.25">
      <c r="A6" t="s">
        <v>5</v>
      </c>
      <c r="B6">
        <v>0.9</v>
      </c>
    </row>
    <row r="8" spans="1:11" x14ac:dyDescent="0.25">
      <c r="A8" s="3" t="s">
        <v>20</v>
      </c>
      <c r="B8">
        <v>40</v>
      </c>
    </row>
    <row r="9" spans="1:11" x14ac:dyDescent="0.25">
      <c r="A9" s="3" t="s">
        <v>17</v>
      </c>
      <c r="B9">
        <f>1+FLOOR(B8/B3,1)</f>
        <v>6</v>
      </c>
    </row>
    <row r="11" spans="1:11" x14ac:dyDescent="0.25">
      <c r="A11" t="s">
        <v>6</v>
      </c>
      <c r="B11">
        <v>1</v>
      </c>
      <c r="C11">
        <f>100-B11*100</f>
        <v>0</v>
      </c>
    </row>
    <row r="12" spans="1:11" x14ac:dyDescent="0.25">
      <c r="A12" t="s">
        <v>7</v>
      </c>
      <c r="B12" s="29">
        <v>0.9</v>
      </c>
      <c r="C12">
        <f t="shared" ref="C12:C13" si="0">100-B12*100</f>
        <v>10</v>
      </c>
    </row>
    <row r="13" spans="1:11" x14ac:dyDescent="0.25">
      <c r="A13" t="s">
        <v>8</v>
      </c>
      <c r="B13">
        <v>0</v>
      </c>
      <c r="C13">
        <f t="shared" si="0"/>
        <v>100</v>
      </c>
    </row>
    <row r="15" spans="1:11" x14ac:dyDescent="0.25">
      <c r="A15" s="1" t="s">
        <v>9</v>
      </c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96</v>
      </c>
    </row>
    <row r="16" spans="1:11" x14ac:dyDescent="0.25">
      <c r="A16" t="s">
        <v>10</v>
      </c>
      <c r="B16" s="29">
        <v>37</v>
      </c>
      <c r="C16">
        <f>B16/$B$3</f>
        <v>5.4411764705882355</v>
      </c>
      <c r="D16">
        <f>$B$9*B16</f>
        <v>222</v>
      </c>
      <c r="F16">
        <f>D16</f>
        <v>222</v>
      </c>
      <c r="G16">
        <f>D16 - ((1-$B$5)*D16*Shield!C4/(Shield!C4+Ships!B4))</f>
        <v>175.8923076923077</v>
      </c>
      <c r="H16">
        <f>D16 - ((1-$B$6)*D16*Plating!C4/(Plating!C4+Ships!B4))</f>
        <v>218.3</v>
      </c>
      <c r="I16">
        <f>G16 - ((1-$B$6)*G16*Plating!C4/(Plating!C4+Ships!B4))</f>
        <v>172.96076923076924</v>
      </c>
      <c r="K16">
        <v>400</v>
      </c>
    </row>
    <row r="18" spans="1:11" x14ac:dyDescent="0.25">
      <c r="A18" s="1" t="s">
        <v>11</v>
      </c>
    </row>
    <row r="19" spans="1:11" x14ac:dyDescent="0.25">
      <c r="A19" t="s">
        <v>10</v>
      </c>
      <c r="B19" s="29">
        <v>38</v>
      </c>
      <c r="C19">
        <f>B19/$B$3</f>
        <v>5.5882352941176476</v>
      </c>
      <c r="D19">
        <f>$B$9*B19</f>
        <v>228</v>
      </c>
      <c r="F19">
        <f>D19</f>
        <v>228</v>
      </c>
      <c r="G19">
        <f>D19 - ((1-$B$5)*D19*Shield!C7/(Shield!C7+Ships!B7))</f>
        <v>224.76850393700786</v>
      </c>
      <c r="H19">
        <f>D19 - ((1-$B$6)*D19*Plating!C7/(Plating!C7+Ships!B7))</f>
        <v>227.75936675461742</v>
      </c>
      <c r="I19">
        <f>G19 - ((1-$B$6)*G19*Plating!C7/(Plating!C7+Ships!B7))</f>
        <v>224.53128124155984</v>
      </c>
      <c r="K19">
        <v>468.57142857142856</v>
      </c>
    </row>
    <row r="20" spans="1:11" x14ac:dyDescent="0.25">
      <c r="A20" t="s">
        <v>12</v>
      </c>
      <c r="B20" s="29">
        <v>55</v>
      </c>
      <c r="C20">
        <f>B20/$B$3</f>
        <v>8.0882352941176467</v>
      </c>
      <c r="D20">
        <f>$B$9*B20</f>
        <v>330</v>
      </c>
      <c r="F20">
        <f>D20</f>
        <v>330</v>
      </c>
      <c r="G20">
        <f>D20 - ((1-$B$5)*D20*Shield!C8/(Shield!C8+Ships!B8))</f>
        <v>327.57791492175448</v>
      </c>
      <c r="H20">
        <f>D20 - ((1-$B$6)*D20*Plating!C8/(Plating!C8+Ships!B8))</f>
        <v>329.81767955801104</v>
      </c>
      <c r="I20">
        <f>G20 - ((1-$B$6)*G20*Plating!C8/(Plating!C8+Ships!B8))</f>
        <v>327.39693264831703</v>
      </c>
      <c r="K20">
        <v>674.28571428571422</v>
      </c>
    </row>
    <row r="22" spans="1:11" x14ac:dyDescent="0.25">
      <c r="A22" s="1" t="s">
        <v>13</v>
      </c>
    </row>
    <row r="23" spans="1:11" x14ac:dyDescent="0.25">
      <c r="A23" t="s">
        <v>10</v>
      </c>
      <c r="B23" s="29">
        <v>95</v>
      </c>
      <c r="C23">
        <f>B23/$B$3</f>
        <v>13.970588235294118</v>
      </c>
      <c r="D23">
        <f>$B$9*B23</f>
        <v>570</v>
      </c>
      <c r="F23">
        <f>D23</f>
        <v>570</v>
      </c>
      <c r="G23">
        <f>D23 - ((1-$B$5)*D23*Shield!C11/(Shield!C11+Ships!B11))</f>
        <v>57</v>
      </c>
      <c r="H23">
        <f>D23 - ((1-$B$6)*D23*Plating!C11/(Plating!C11+Ships!B11))</f>
        <v>513</v>
      </c>
      <c r="I23">
        <f>G23 - ((1-$B$6)*G23*Plating!C11/(Plating!C11+Ships!B11))</f>
        <v>51.300000000000004</v>
      </c>
      <c r="K23">
        <v>605.71428571428567</v>
      </c>
    </row>
    <row r="24" spans="1:11" x14ac:dyDescent="0.25">
      <c r="A24" t="s">
        <v>12</v>
      </c>
      <c r="B24" s="29">
        <v>145</v>
      </c>
      <c r="C24">
        <f>B24/$B$3</f>
        <v>21.323529411764707</v>
      </c>
      <c r="D24">
        <f>$B$9*B24</f>
        <v>870</v>
      </c>
      <c r="F24">
        <f>D24</f>
        <v>870</v>
      </c>
      <c r="G24">
        <f>D24 - ((1-$B$5)*D24*Shield!C12/(Shield!C12+Ships!B12))</f>
        <v>87</v>
      </c>
      <c r="H24">
        <f>D24 - ((1-$B$6)*D24*Plating!C12/(Plating!C12+Ships!B12))</f>
        <v>783</v>
      </c>
      <c r="I24">
        <f>G24 - ((1-$B$6)*G24*Plating!C12/(Plating!C12+Ships!B12))</f>
        <v>78.3</v>
      </c>
      <c r="K24">
        <v>925.71428571428555</v>
      </c>
    </row>
    <row r="26" spans="1:11" x14ac:dyDescent="0.25">
      <c r="A26" s="1" t="s">
        <v>14</v>
      </c>
    </row>
    <row r="27" spans="1:11" x14ac:dyDescent="0.25">
      <c r="A27" t="s">
        <v>10</v>
      </c>
      <c r="B27" s="29">
        <v>127</v>
      </c>
      <c r="C27">
        <f>B27/$B$3</f>
        <v>18.676470588235293</v>
      </c>
      <c r="D27">
        <f>$B$9*B27</f>
        <v>762</v>
      </c>
      <c r="F27">
        <f>D27</f>
        <v>762</v>
      </c>
      <c r="G27">
        <f>D27 - ((1-$B$5)*D27*Shield!C15/(Shield!C15+Ships!B15))</f>
        <v>76.199999999999932</v>
      </c>
      <c r="H27">
        <f>D27 - ((1-$B$6)*D27*Plating!C15/(Plating!C15+Ships!B15))</f>
        <v>685.8</v>
      </c>
      <c r="I27">
        <f>G27 - ((1-$B$6)*G27*Plating!C15/(Plating!C15+Ships!B15))</f>
        <v>68.579999999999941</v>
      </c>
      <c r="K27">
        <v>811.42857142857122</v>
      </c>
    </row>
    <row r="28" spans="1:11" x14ac:dyDescent="0.25">
      <c r="A28" t="s">
        <v>12</v>
      </c>
      <c r="B28" s="29">
        <v>198</v>
      </c>
      <c r="C28">
        <f>B28/$B$3</f>
        <v>29.117647058823529</v>
      </c>
      <c r="D28">
        <f>$B$9*B28</f>
        <v>1188</v>
      </c>
      <c r="F28">
        <f>D28</f>
        <v>1188</v>
      </c>
      <c r="G28">
        <f>D28 - ((1-$B$5)*D28*Shield!C16/(Shield!C16+Ships!B16))</f>
        <v>118.79999999999995</v>
      </c>
      <c r="H28">
        <f>D28 - ((1-$B$6)*D28*Plating!C16/(Plating!C16+Ships!B16))</f>
        <v>1069.2</v>
      </c>
      <c r="I28">
        <f>G28 - ((1-$B$6)*G28*Plating!C16/(Plating!C16+Ships!B16))</f>
        <v>106.91999999999996</v>
      </c>
      <c r="K28">
        <v>1268.5714285714282</v>
      </c>
    </row>
    <row r="30" spans="1:11" x14ac:dyDescent="0.25">
      <c r="A30" s="1" t="s">
        <v>15</v>
      </c>
    </row>
    <row r="31" spans="1:11" x14ac:dyDescent="0.25">
      <c r="A31" t="s">
        <v>10</v>
      </c>
      <c r="B31" s="29">
        <v>181</v>
      </c>
      <c r="C31">
        <f>B31/$B$3</f>
        <v>26.617647058823529</v>
      </c>
      <c r="D31">
        <f>$B$9*B31</f>
        <v>1086</v>
      </c>
      <c r="F31">
        <f>D31</f>
        <v>1086</v>
      </c>
      <c r="G31">
        <f>D31 - ((1-$B$5)*D31*Shield!C19/(Shield!C19+Ships!B19))</f>
        <v>108.60000000000002</v>
      </c>
      <c r="H31">
        <f>D31 - ((1-$B$6)*D31*Plating!C19/(Plating!C19+Ships!B19))</f>
        <v>977.4</v>
      </c>
      <c r="I31">
        <f>G31 - ((1-$B$6)*G31*Plating!C19/(Plating!C19+Ships!B19))</f>
        <v>97.740000000000023</v>
      </c>
      <c r="K31">
        <v>1154.285714285714</v>
      </c>
    </row>
    <row r="32" spans="1:11" x14ac:dyDescent="0.25">
      <c r="A32" t="s">
        <v>12</v>
      </c>
      <c r="B32" s="29">
        <v>295</v>
      </c>
      <c r="C32">
        <f>B32/$B$3</f>
        <v>43.382352941176471</v>
      </c>
      <c r="D32">
        <f>$B$9*B32</f>
        <v>1770</v>
      </c>
      <c r="F32">
        <f>D32</f>
        <v>1770</v>
      </c>
      <c r="G32">
        <f>D32 - ((1-$B$5)*D32*Shield!C20/(Shield!C20+Ships!B20))</f>
        <v>177</v>
      </c>
      <c r="H32">
        <f>D32 - ((1-$B$6)*D32*Plating!C20/(Plating!C20+Ships!B20))</f>
        <v>1593</v>
      </c>
      <c r="I32">
        <f>G32 - ((1-$B$6)*G32*Plating!C20/(Plating!C20+Ships!B20))</f>
        <v>159.30000000000001</v>
      </c>
      <c r="K32">
        <v>1885.7142857142853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0" sqref="D10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6.710937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</cols>
  <sheetData>
    <row r="1" spans="1:11" x14ac:dyDescent="0.25">
      <c r="F1" s="2" t="s">
        <v>92</v>
      </c>
    </row>
    <row r="2" spans="1:11" x14ac:dyDescent="0.25">
      <c r="A2" s="2" t="s">
        <v>21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1" x14ac:dyDescent="0.25">
      <c r="A3" t="s">
        <v>2</v>
      </c>
      <c r="B3">
        <v>9</v>
      </c>
      <c r="F3" s="28">
        <f ca="1">Balance!K27</f>
        <v>1.2878326907019446</v>
      </c>
      <c r="G3" s="28">
        <f ca="1">Balance!L27</f>
        <v>1.4835610837134148</v>
      </c>
      <c r="H3" s="28">
        <f ca="1">Balance!M27</f>
        <v>1.516649451372138</v>
      </c>
      <c r="I3" s="28">
        <f ca="1">Balance!N27</f>
        <v>1.3329989694008766</v>
      </c>
    </row>
    <row r="4" spans="1:11" x14ac:dyDescent="0.25">
      <c r="A4" t="s">
        <v>3</v>
      </c>
      <c r="B4">
        <v>0</v>
      </c>
      <c r="F4" s="3">
        <f ca="1">Balance!K19</f>
        <v>589.68697575193278</v>
      </c>
      <c r="G4" s="3">
        <f ca="1">Balance!L19</f>
        <v>679.30924188714766</v>
      </c>
      <c r="H4" s="3">
        <f ca="1">Balance!M19</f>
        <v>673.44588514936117</v>
      </c>
      <c r="I4" s="3">
        <f ca="1">Balance!N19</f>
        <v>591.89858938015834</v>
      </c>
      <c r="J4" s="3" t="s">
        <v>93</v>
      </c>
    </row>
    <row r="5" spans="1:11" x14ac:dyDescent="0.25">
      <c r="A5" t="s">
        <v>4</v>
      </c>
      <c r="B5">
        <v>0.9</v>
      </c>
      <c r="F5" s="3">
        <f ca="1">Balance!K25</f>
        <v>457.89098227543724</v>
      </c>
      <c r="G5" s="3">
        <f ca="1">Balance!L25</f>
        <v>457.89098227543724</v>
      </c>
      <c r="H5" s="3">
        <f ca="1">Balance!M25</f>
        <v>444.03529407542624</v>
      </c>
      <c r="I5" s="3">
        <f ca="1">Balance!N25</f>
        <v>444.03529407542624</v>
      </c>
      <c r="J5" s="3" t="s">
        <v>94</v>
      </c>
    </row>
    <row r="6" spans="1:11" x14ac:dyDescent="0.25">
      <c r="A6" t="s">
        <v>5</v>
      </c>
      <c r="B6">
        <v>0.1</v>
      </c>
    </row>
    <row r="8" spans="1:11" x14ac:dyDescent="0.25">
      <c r="A8" s="3" t="s">
        <v>20</v>
      </c>
      <c r="B8">
        <v>40</v>
      </c>
    </row>
    <row r="9" spans="1:11" x14ac:dyDescent="0.25">
      <c r="A9" s="3" t="s">
        <v>17</v>
      </c>
      <c r="B9">
        <f>1+FLOOR(B8/B3,1)</f>
        <v>5</v>
      </c>
    </row>
    <row r="11" spans="1:11" x14ac:dyDescent="0.25">
      <c r="A11" t="s">
        <v>6</v>
      </c>
      <c r="B11">
        <v>0</v>
      </c>
      <c r="C11">
        <f>100-B11*100</f>
        <v>100</v>
      </c>
    </row>
    <row r="12" spans="1:11" x14ac:dyDescent="0.25">
      <c r="A12" t="s">
        <v>7</v>
      </c>
      <c r="B12" s="29">
        <v>0.62</v>
      </c>
      <c r="C12">
        <f t="shared" ref="C12:C13" si="0">100-B12*100</f>
        <v>38</v>
      </c>
    </row>
    <row r="13" spans="1:11" x14ac:dyDescent="0.25">
      <c r="A13" t="s">
        <v>8</v>
      </c>
      <c r="B13">
        <v>1</v>
      </c>
      <c r="C13">
        <f t="shared" si="0"/>
        <v>0</v>
      </c>
    </row>
    <row r="15" spans="1:11" x14ac:dyDescent="0.25">
      <c r="A15" s="1" t="s">
        <v>9</v>
      </c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96</v>
      </c>
    </row>
    <row r="16" spans="1:11" x14ac:dyDescent="0.25">
      <c r="A16" t="s">
        <v>10</v>
      </c>
      <c r="B16" s="29">
        <v>42</v>
      </c>
      <c r="C16">
        <f>B16/$B$3</f>
        <v>4.666666666666667</v>
      </c>
      <c r="D16">
        <f>$B$9*B16</f>
        <v>210</v>
      </c>
      <c r="F16">
        <f>D16</f>
        <v>210</v>
      </c>
      <c r="G16">
        <f>D16 - ((1-$B$5)*D16*Shield!C4/(Shield!C4+Ships!B4))</f>
        <v>205.15384615384616</v>
      </c>
      <c r="H16">
        <f>D16 - ((1-$B$6)*D16*Plating!C4/(Plating!C4+Ships!B4))</f>
        <v>178.5</v>
      </c>
      <c r="I16">
        <f>G16 - ((1-$B$6)*G16*Plating!C4/(Plating!C4+Ships!B4))</f>
        <v>174.38076923076923</v>
      </c>
      <c r="K16">
        <v>400</v>
      </c>
    </row>
    <row r="18" spans="1:11" x14ac:dyDescent="0.25">
      <c r="A18" s="1" t="s">
        <v>11</v>
      </c>
    </row>
    <row r="19" spans="1:11" x14ac:dyDescent="0.25">
      <c r="A19" t="s">
        <v>10</v>
      </c>
      <c r="B19" s="29">
        <v>46</v>
      </c>
      <c r="C19">
        <f>B19/$B$3</f>
        <v>5.1111111111111107</v>
      </c>
      <c r="D19">
        <f>$B$9*B19</f>
        <v>230</v>
      </c>
      <c r="F19">
        <f>D19</f>
        <v>230</v>
      </c>
      <c r="G19">
        <f>D19 - ((1-$B$5)*D19*Shield!C7/(Shield!C7+Ships!B7))</f>
        <v>229.63779527559055</v>
      </c>
      <c r="H19">
        <f>D19 - ((1-$B$6)*D19*Plating!C7/(Plating!C7+Ships!B7))</f>
        <v>227.81530343007915</v>
      </c>
      <c r="I19">
        <f>G19 - ((1-$B$6)*G19*Plating!C7/(Plating!C7+Ships!B7))</f>
        <v>227.45653917270894</v>
      </c>
      <c r="K19">
        <v>468.57142857142856</v>
      </c>
    </row>
    <row r="20" spans="1:11" x14ac:dyDescent="0.25">
      <c r="A20" t="s">
        <v>12</v>
      </c>
      <c r="B20" s="29">
        <v>66</v>
      </c>
      <c r="C20">
        <f>B20/$B$3</f>
        <v>7.333333333333333</v>
      </c>
      <c r="D20">
        <f>$B$9*B20</f>
        <v>330</v>
      </c>
      <c r="F20">
        <f>D20</f>
        <v>330</v>
      </c>
      <c r="G20">
        <f>D20 - ((1-$B$5)*D20*Shield!C8/(Shield!C8+Ships!B8))</f>
        <v>329.73087943575052</v>
      </c>
      <c r="H20">
        <f>D20 - ((1-$B$6)*D20*Plating!C8/(Plating!C8+Ships!B8))</f>
        <v>328.35911602209944</v>
      </c>
      <c r="I20">
        <f>G20 - ((1-$B$6)*G20*Plating!C8/(Plating!C8+Ships!B8))</f>
        <v>328.09133362640148</v>
      </c>
      <c r="K20">
        <v>674.28571428571422</v>
      </c>
    </row>
    <row r="22" spans="1:11" x14ac:dyDescent="0.25">
      <c r="A22" s="1" t="s">
        <v>13</v>
      </c>
    </row>
    <row r="23" spans="1:11" x14ac:dyDescent="0.25">
      <c r="A23" t="s">
        <v>10</v>
      </c>
      <c r="B23" s="29">
        <v>115</v>
      </c>
      <c r="C23">
        <f>B23/$B$3</f>
        <v>12.777777777777779</v>
      </c>
      <c r="D23">
        <f>$B$9*B23</f>
        <v>575</v>
      </c>
      <c r="F23">
        <f>D23</f>
        <v>575</v>
      </c>
      <c r="G23">
        <f>D23 - ((1-$B$5)*D23*Shield!C11/(Shield!C11+Ships!B11))</f>
        <v>517.5</v>
      </c>
      <c r="H23">
        <f>D23 - ((1-$B$6)*D23*Plating!C11/(Plating!C11+Ships!B11))</f>
        <v>57.5</v>
      </c>
      <c r="I23">
        <f>G23 - ((1-$B$6)*G23*Plating!C11/(Plating!C11+Ships!B11))</f>
        <v>51.75</v>
      </c>
      <c r="K23">
        <v>605.71428571428567</v>
      </c>
    </row>
    <row r="24" spans="1:11" x14ac:dyDescent="0.25">
      <c r="A24" t="s">
        <v>12</v>
      </c>
      <c r="B24" s="29">
        <v>176</v>
      </c>
      <c r="C24">
        <f>B24/$B$3</f>
        <v>19.555555555555557</v>
      </c>
      <c r="D24">
        <f>$B$9*B24</f>
        <v>880</v>
      </c>
      <c r="F24">
        <f>D24</f>
        <v>880</v>
      </c>
      <c r="G24">
        <f>D24 - ((1-$B$5)*D24*Shield!C12/(Shield!C12+Ships!B12))</f>
        <v>792</v>
      </c>
      <c r="H24">
        <f>D24 - ((1-$B$6)*D24*Plating!C12/(Plating!C12+Ships!B12))</f>
        <v>88</v>
      </c>
      <c r="I24">
        <f>G24 - ((1-$B$6)*G24*Plating!C12/(Plating!C12+Ships!B12))</f>
        <v>79.199999999999932</v>
      </c>
      <c r="K24">
        <v>925.71428571428555</v>
      </c>
    </row>
    <row r="26" spans="1:11" x14ac:dyDescent="0.25">
      <c r="A26" s="1" t="s">
        <v>14</v>
      </c>
    </row>
    <row r="27" spans="1:11" x14ac:dyDescent="0.25">
      <c r="A27" t="s">
        <v>10</v>
      </c>
      <c r="B27" s="29">
        <v>154</v>
      </c>
      <c r="C27">
        <f>B27/$B$3</f>
        <v>17.111111111111111</v>
      </c>
      <c r="D27">
        <f>$B$9*B27</f>
        <v>770</v>
      </c>
      <c r="F27">
        <f>D27</f>
        <v>770</v>
      </c>
      <c r="G27">
        <f>D27 - ((1-$B$5)*D27*Shield!C15/(Shield!C15+Ships!B15))</f>
        <v>693</v>
      </c>
      <c r="H27">
        <f>D27 - ((1-$B$6)*D27*Plating!C15/(Plating!C15+Ships!B15))</f>
        <v>77</v>
      </c>
      <c r="I27">
        <f>G27 - ((1-$B$6)*G27*Plating!C15/(Plating!C15+Ships!B15))</f>
        <v>69.299999999999955</v>
      </c>
      <c r="K27">
        <v>811.42857142857122</v>
      </c>
    </row>
    <row r="28" spans="1:11" x14ac:dyDescent="0.25">
      <c r="A28" t="s">
        <v>12</v>
      </c>
      <c r="B28" s="29">
        <v>240</v>
      </c>
      <c r="C28">
        <f>B28/$B$3</f>
        <v>26.666666666666668</v>
      </c>
      <c r="D28">
        <f>$B$9*B28</f>
        <v>1200</v>
      </c>
      <c r="F28">
        <f>D28</f>
        <v>1200</v>
      </c>
      <c r="G28">
        <f>D28 - ((1-$B$5)*D28*Shield!C16/(Shield!C16+Ships!B16))</f>
        <v>1080</v>
      </c>
      <c r="H28">
        <f>D28 - ((1-$B$6)*D28*Plating!C16/(Plating!C16+Ships!B16))</f>
        <v>120</v>
      </c>
      <c r="I28">
        <f>G28 - ((1-$B$6)*G28*Plating!C16/(Plating!C16+Ships!B16))</f>
        <v>108</v>
      </c>
      <c r="K28">
        <v>1268.5714285714282</v>
      </c>
    </row>
    <row r="30" spans="1:11" x14ac:dyDescent="0.25">
      <c r="A30" s="1" t="s">
        <v>15</v>
      </c>
    </row>
    <row r="31" spans="1:11" x14ac:dyDescent="0.25">
      <c r="A31" t="s">
        <v>10</v>
      </c>
      <c r="B31" s="29">
        <v>219</v>
      </c>
      <c r="C31">
        <f>B31/$B$3</f>
        <v>24.333333333333332</v>
      </c>
      <c r="D31">
        <f>$B$9*B31</f>
        <v>1095</v>
      </c>
      <c r="F31">
        <f>D31</f>
        <v>1095</v>
      </c>
      <c r="G31">
        <f>D31 - ((1-$B$5)*D31*Shield!C19/(Shield!C19+Ships!B19))</f>
        <v>985.5</v>
      </c>
      <c r="H31">
        <f>D31 - ((1-$B$6)*D31*Plating!C19/(Plating!C19+Ships!B19))</f>
        <v>109.5</v>
      </c>
      <c r="I31">
        <f>G31 - ((1-$B$6)*G31*Plating!C19/(Plating!C19+Ships!B19))</f>
        <v>98.549999999999955</v>
      </c>
      <c r="K31">
        <v>1154.285714285714</v>
      </c>
    </row>
    <row r="32" spans="1:11" x14ac:dyDescent="0.25">
      <c r="A32" t="s">
        <v>12</v>
      </c>
      <c r="B32" s="29">
        <v>358</v>
      </c>
      <c r="C32">
        <f>B32/$B$3</f>
        <v>39.777777777777779</v>
      </c>
      <c r="D32">
        <f>$B$9*B32</f>
        <v>1790</v>
      </c>
      <c r="F32">
        <f>D32</f>
        <v>1790</v>
      </c>
      <c r="G32">
        <f>D32 - ((1-$B$5)*D32*Shield!C20/(Shield!C20+Ships!B20))</f>
        <v>1611</v>
      </c>
      <c r="H32">
        <f>D32 - ((1-$B$6)*D32*Plating!C20/(Plating!C20+Ships!B20))</f>
        <v>179</v>
      </c>
      <c r="I32">
        <f>G32 - ((1-$B$6)*G32*Plating!C20/(Plating!C20+Ships!B20))</f>
        <v>161.09999999999991</v>
      </c>
      <c r="K32">
        <v>1885.7142857142853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E11" sqref="E11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6.710937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</cols>
  <sheetData>
    <row r="1" spans="1:11" x14ac:dyDescent="0.25">
      <c r="F1" s="2" t="s">
        <v>92</v>
      </c>
    </row>
    <row r="2" spans="1:11" x14ac:dyDescent="0.25">
      <c r="A2" s="2" t="s">
        <v>0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1" x14ac:dyDescent="0.25">
      <c r="A3" t="s">
        <v>2</v>
      </c>
      <c r="B3">
        <v>1.8</v>
      </c>
      <c r="F3" s="28">
        <f ca="1">Balance!K27</f>
        <v>1.2878326907019446</v>
      </c>
      <c r="G3" s="28">
        <f ca="1">Balance!L27</f>
        <v>1.4835610837134148</v>
      </c>
      <c r="H3" s="28">
        <f ca="1">Balance!M27</f>
        <v>1.516649451372138</v>
      </c>
      <c r="I3" s="28">
        <f ca="1">Balance!N27</f>
        <v>1.3329989694008766</v>
      </c>
    </row>
    <row r="4" spans="1:11" x14ac:dyDescent="0.25">
      <c r="A4" t="s">
        <v>3</v>
      </c>
      <c r="B4">
        <v>0</v>
      </c>
      <c r="F4" s="3">
        <f ca="1">Balance!K19</f>
        <v>589.68697575193278</v>
      </c>
      <c r="G4" s="3">
        <f ca="1">Balance!L19</f>
        <v>679.30924188714766</v>
      </c>
      <c r="H4" s="3">
        <f ca="1">Balance!M19</f>
        <v>673.44588514936117</v>
      </c>
      <c r="I4" s="3">
        <f ca="1">Balance!N19</f>
        <v>591.89858938015834</v>
      </c>
      <c r="J4" s="3" t="s">
        <v>93</v>
      </c>
    </row>
    <row r="5" spans="1:11" x14ac:dyDescent="0.25">
      <c r="A5" t="s">
        <v>4</v>
      </c>
      <c r="B5">
        <v>0.3</v>
      </c>
      <c r="F5" s="3">
        <f ca="1">Balance!K25</f>
        <v>457.89098227543724</v>
      </c>
      <c r="G5" s="3">
        <f ca="1">Balance!L25</f>
        <v>457.89098227543724</v>
      </c>
      <c r="H5" s="3">
        <f ca="1">Balance!M25</f>
        <v>444.03529407542624</v>
      </c>
      <c r="I5" s="3">
        <f ca="1">Balance!N25</f>
        <v>444.03529407542624</v>
      </c>
      <c r="J5" s="3" t="s">
        <v>94</v>
      </c>
    </row>
    <row r="6" spans="1:11" x14ac:dyDescent="0.25">
      <c r="A6" t="s">
        <v>5</v>
      </c>
      <c r="B6">
        <v>0.8</v>
      </c>
    </row>
    <row r="8" spans="1:11" x14ac:dyDescent="0.25">
      <c r="A8" s="3" t="s">
        <v>20</v>
      </c>
      <c r="B8">
        <v>40</v>
      </c>
    </row>
    <row r="9" spans="1:11" x14ac:dyDescent="0.25">
      <c r="A9" s="3" t="s">
        <v>17</v>
      </c>
      <c r="B9">
        <f>1+FLOOR(B8/B3,1)</f>
        <v>23</v>
      </c>
    </row>
    <row r="11" spans="1:11" x14ac:dyDescent="0.25">
      <c r="A11" t="s">
        <v>6</v>
      </c>
      <c r="B11">
        <v>0</v>
      </c>
      <c r="C11">
        <f>100-B11*100</f>
        <v>100</v>
      </c>
    </row>
    <row r="12" spans="1:11" x14ac:dyDescent="0.25">
      <c r="A12" t="s">
        <v>7</v>
      </c>
      <c r="B12" s="29">
        <v>0.38</v>
      </c>
      <c r="C12">
        <f t="shared" ref="C12:C13" si="0">100-B12*100</f>
        <v>62</v>
      </c>
    </row>
    <row r="13" spans="1:11" x14ac:dyDescent="0.25">
      <c r="A13" t="s">
        <v>8</v>
      </c>
      <c r="B13" s="29">
        <v>0.62</v>
      </c>
      <c r="C13">
        <f t="shared" si="0"/>
        <v>38</v>
      </c>
    </row>
    <row r="15" spans="1:11" x14ac:dyDescent="0.25">
      <c r="A15" s="1" t="s">
        <v>9</v>
      </c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97</v>
      </c>
    </row>
    <row r="16" spans="1:11" x14ac:dyDescent="0.25">
      <c r="A16" t="s">
        <v>10</v>
      </c>
      <c r="B16" s="29">
        <v>7</v>
      </c>
      <c r="C16">
        <f>B16/$B$3</f>
        <v>3.8888888888888888</v>
      </c>
      <c r="D16">
        <f>$B$9*B16</f>
        <v>161</v>
      </c>
      <c r="F16">
        <f>D16</f>
        <v>161</v>
      </c>
      <c r="G16">
        <f>D16 - ((1-$B$5)*D16*Shield!C4/(Shield!C4+Ships!B4))</f>
        <v>134.99230769230769</v>
      </c>
      <c r="H16">
        <f>D16 - ((1-$B$6)*D16*Plating!C4/(Plating!C4+Ships!B4))</f>
        <v>155.63333333333333</v>
      </c>
      <c r="I16">
        <f>G16 - ((1-$B$6)*G16*Plating!C4/(Plating!C4+Ships!B4))</f>
        <v>130.4925641025641</v>
      </c>
      <c r="K16">
        <v>350</v>
      </c>
    </row>
    <row r="18" spans="1:11" x14ac:dyDescent="0.25">
      <c r="A18" s="1" t="s">
        <v>11</v>
      </c>
    </row>
    <row r="19" spans="1:11" x14ac:dyDescent="0.25">
      <c r="A19" t="s">
        <v>10</v>
      </c>
      <c r="B19" s="29">
        <v>7.46</v>
      </c>
      <c r="C19">
        <f>B19/$B$3</f>
        <v>4.1444444444444439</v>
      </c>
      <c r="D19">
        <f>$B$9*B19</f>
        <v>171.58</v>
      </c>
      <c r="F19">
        <f>D19</f>
        <v>171.58</v>
      </c>
      <c r="G19">
        <f>D19 - ((1-$B$5)*D19*Shield!C7/(Shield!C7+Ships!B7))</f>
        <v>169.68856692913388</v>
      </c>
      <c r="H19">
        <f>D19 - ((1-$B$6)*D19*Plating!C7/(Plating!C7+Ships!B7))</f>
        <v>171.21782585751981</v>
      </c>
      <c r="I19">
        <f>G19 - ((1-$B$6)*G19*Plating!C7/(Plating!C7+Ships!B7))</f>
        <v>169.33038525751567</v>
      </c>
      <c r="K19">
        <v>410</v>
      </c>
    </row>
    <row r="20" spans="1:11" x14ac:dyDescent="0.25">
      <c r="A20" t="s">
        <v>12</v>
      </c>
      <c r="B20" s="29">
        <v>10.7</v>
      </c>
      <c r="C20">
        <f>B20/$B$3</f>
        <v>5.9444444444444438</v>
      </c>
      <c r="D20">
        <f>$B$9*B20</f>
        <v>246.1</v>
      </c>
      <c r="F20">
        <f>D20</f>
        <v>246.1</v>
      </c>
      <c r="G20">
        <f>D20 - ((1-$B$5)*D20*Shield!C8/(Shield!C8+Ships!B8))</f>
        <v>244.69510910293144</v>
      </c>
      <c r="H20">
        <f>D20 - ((1-$B$6)*D20*Plating!C8/(Plating!C8+Ships!B8))</f>
        <v>245.82806629834255</v>
      </c>
      <c r="I20">
        <f>G20 - ((1-$B$6)*G20*Plating!C8/(Plating!C8+Ships!B8))</f>
        <v>244.4247277669061</v>
      </c>
      <c r="K20">
        <v>590</v>
      </c>
    </row>
    <row r="22" spans="1:11" x14ac:dyDescent="0.25">
      <c r="A22" s="1" t="s">
        <v>13</v>
      </c>
    </row>
    <row r="23" spans="1:11" x14ac:dyDescent="0.25">
      <c r="A23" t="s">
        <v>10</v>
      </c>
      <c r="B23" s="29">
        <v>16.7</v>
      </c>
      <c r="C23">
        <f>B23/$B$3</f>
        <v>9.2777777777777768</v>
      </c>
      <c r="D23">
        <f>$B$9*B23</f>
        <v>384.09999999999997</v>
      </c>
      <c r="F23">
        <f>D23</f>
        <v>384.09999999999997</v>
      </c>
      <c r="G23">
        <f>D23 - ((1-$B$5)*D23*Shield!C11/(Shield!C11+Ships!B11))</f>
        <v>115.23000000000002</v>
      </c>
      <c r="H23">
        <f>D23 - ((1-$B$6)*D23*Plating!C11/(Plating!C11+Ships!B11))</f>
        <v>307.27999999999997</v>
      </c>
      <c r="I23">
        <f>G23 - ((1-$B$6)*G23*Plating!C11/(Plating!C11+Ships!B11))</f>
        <v>92.184000000000012</v>
      </c>
      <c r="K23">
        <v>530</v>
      </c>
    </row>
    <row r="24" spans="1:11" x14ac:dyDescent="0.25">
      <c r="A24" t="s">
        <v>12</v>
      </c>
      <c r="B24" s="29">
        <v>25.4</v>
      </c>
      <c r="C24">
        <f>B24/$B$3</f>
        <v>14.111111111111111</v>
      </c>
      <c r="D24">
        <f>$B$9*B24</f>
        <v>584.19999999999993</v>
      </c>
      <c r="F24">
        <f>D24</f>
        <v>584.19999999999993</v>
      </c>
      <c r="G24">
        <f>D24 - ((1-$B$5)*D24*Shield!C12/(Shield!C12+Ships!B12))</f>
        <v>175.26</v>
      </c>
      <c r="H24">
        <f>D24 - ((1-$B$6)*D24*Plating!C12/(Plating!C12+Ships!B12))</f>
        <v>467.35999999999996</v>
      </c>
      <c r="I24">
        <f>G24 - ((1-$B$6)*G24*Plating!C12/(Plating!C12+Ships!B12))</f>
        <v>140.208</v>
      </c>
      <c r="K24">
        <v>810</v>
      </c>
    </row>
    <row r="26" spans="1:11" x14ac:dyDescent="0.25">
      <c r="A26" s="1" t="s">
        <v>14</v>
      </c>
    </row>
    <row r="27" spans="1:11" x14ac:dyDescent="0.25">
      <c r="A27" t="s">
        <v>10</v>
      </c>
      <c r="B27" s="29">
        <v>22.3</v>
      </c>
      <c r="C27">
        <f>B27/$B$3</f>
        <v>12.388888888888889</v>
      </c>
      <c r="D27">
        <f>$B$9*B27</f>
        <v>512.9</v>
      </c>
      <c r="F27">
        <f>D27</f>
        <v>512.9</v>
      </c>
      <c r="G27">
        <f>D27 - ((1-$B$5)*D27*Shield!C15/(Shield!C15+Ships!B15))</f>
        <v>153.87</v>
      </c>
      <c r="H27">
        <f>D27 - ((1-$B$6)*D27*Plating!C15/(Plating!C15+Ships!B15))</f>
        <v>410.32</v>
      </c>
      <c r="I27">
        <f>G27 - ((1-$B$6)*G27*Plating!C15/(Plating!C15+Ships!B15))</f>
        <v>123.09600000000002</v>
      </c>
      <c r="K27">
        <v>710</v>
      </c>
    </row>
    <row r="28" spans="1:11" x14ac:dyDescent="0.25">
      <c r="A28" t="s">
        <v>12</v>
      </c>
      <c r="B28" s="29">
        <v>35</v>
      </c>
      <c r="C28">
        <f>B28/$B$3</f>
        <v>19.444444444444443</v>
      </c>
      <c r="D28">
        <f>$B$9*B28</f>
        <v>805</v>
      </c>
      <c r="F28">
        <f>D28</f>
        <v>805</v>
      </c>
      <c r="G28">
        <f>D28 - ((1-$B$5)*D28*Shield!C16/(Shield!C16+Ships!B16))</f>
        <v>241.5</v>
      </c>
      <c r="H28">
        <f>D28 - ((1-$B$6)*D28*Plating!C16/(Plating!C16+Ships!B16))</f>
        <v>644</v>
      </c>
      <c r="I28">
        <f>G28 - ((1-$B$6)*G28*Plating!C16/(Plating!C16+Ships!B16))</f>
        <v>193.20000000000002</v>
      </c>
      <c r="K28">
        <v>1110</v>
      </c>
    </row>
    <row r="30" spans="1:11" x14ac:dyDescent="0.25">
      <c r="A30" s="1" t="s">
        <v>15</v>
      </c>
    </row>
    <row r="31" spans="1:11" x14ac:dyDescent="0.25">
      <c r="A31" t="s">
        <v>10</v>
      </c>
      <c r="B31" s="29">
        <v>32</v>
      </c>
      <c r="C31">
        <f>B31/$B$3</f>
        <v>17.777777777777779</v>
      </c>
      <c r="D31">
        <f>$B$9*B31</f>
        <v>736</v>
      </c>
      <c r="F31">
        <f>D31</f>
        <v>736</v>
      </c>
      <c r="G31">
        <f>D31 - ((1-$B$5)*D31*Shield!C19/(Shield!C19+Ships!B19))</f>
        <v>220.80000000000007</v>
      </c>
      <c r="H31">
        <f>D31 - ((1-$B$6)*D31*Plating!C19/(Plating!C19+Ships!B19))</f>
        <v>588.80000000000007</v>
      </c>
      <c r="I31">
        <f>G31 - ((1-$B$6)*G31*Plating!C19/(Plating!C19+Ships!B19))</f>
        <v>176.64000000000007</v>
      </c>
      <c r="K31">
        <v>1010</v>
      </c>
    </row>
    <row r="32" spans="1:11" x14ac:dyDescent="0.25">
      <c r="A32" t="s">
        <v>12</v>
      </c>
      <c r="B32" s="29">
        <v>52</v>
      </c>
      <c r="C32">
        <f>B32/$B$3</f>
        <v>28.888888888888889</v>
      </c>
      <c r="D32">
        <f>$B$9*B32</f>
        <v>1196</v>
      </c>
      <c r="F32">
        <f>D32</f>
        <v>1196</v>
      </c>
      <c r="G32">
        <f>D32 - ((1-$B$5)*D32*Shield!C20/(Shield!C20+Ships!B20))</f>
        <v>358.80000000000018</v>
      </c>
      <c r="H32">
        <f>D32 - ((1-$B$6)*D32*Plating!C20/(Plating!C20+Ships!B20))</f>
        <v>956.80000000000007</v>
      </c>
      <c r="I32">
        <f>G32 - ((1-$B$6)*G32*Plating!C20/(Plating!C20+Ships!B20))</f>
        <v>287.04000000000019</v>
      </c>
      <c r="K32">
        <v>1650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7"/>
  <sheetViews>
    <sheetView topLeftCell="J1" workbookViewId="0">
      <selection activeCell="L13" sqref="L13"/>
    </sheetView>
  </sheetViews>
  <sheetFormatPr defaultRowHeight="15" x14ac:dyDescent="0.25"/>
  <cols>
    <col min="1" max="1" width="25.140625" bestFit="1" customWidth="1"/>
    <col min="2" max="2" width="27.28515625" bestFit="1" customWidth="1"/>
    <col min="3" max="6" width="12.5703125" bestFit="1" customWidth="1"/>
    <col min="7" max="7" width="6.5703125" bestFit="1" customWidth="1"/>
    <col min="8" max="9" width="17.7109375" customWidth="1"/>
    <col min="10" max="10" width="47" bestFit="1" customWidth="1"/>
    <col min="11" max="12" width="16.85546875" bestFit="1" customWidth="1"/>
    <col min="13" max="14" width="16.28515625" bestFit="1" customWidth="1"/>
  </cols>
  <sheetData>
    <row r="3" spans="1:15" x14ac:dyDescent="0.25">
      <c r="A3" s="1" t="s">
        <v>22</v>
      </c>
      <c r="C3" s="14" t="s">
        <v>1</v>
      </c>
      <c r="D3" s="18" t="s">
        <v>19</v>
      </c>
      <c r="E3" s="14" t="s">
        <v>21</v>
      </c>
      <c r="F3" s="18" t="s">
        <v>0</v>
      </c>
      <c r="K3" s="14" t="s">
        <v>1</v>
      </c>
      <c r="L3" s="18" t="s">
        <v>19</v>
      </c>
      <c r="M3" s="14" t="s">
        <v>21</v>
      </c>
      <c r="N3" s="18" t="s">
        <v>0</v>
      </c>
    </row>
    <row r="4" spans="1:15" x14ac:dyDescent="0.25">
      <c r="A4" s="3" t="s">
        <v>23</v>
      </c>
      <c r="B4" t="s">
        <v>28</v>
      </c>
      <c r="C4" s="15">
        <f ca="1">3*(1-INDIRECT("'"&amp;C$3&amp;"'!B13"))</f>
        <v>3</v>
      </c>
      <c r="D4" s="19">
        <f t="shared" ref="D4:F4" ca="1" si="0">3*(1-INDIRECT("'"&amp;D$3&amp;"'!B13"))</f>
        <v>3</v>
      </c>
      <c r="E4" s="15">
        <f t="shared" ca="1" si="0"/>
        <v>0</v>
      </c>
      <c r="F4" s="19">
        <f t="shared" ca="1" si="0"/>
        <v>1.1400000000000001</v>
      </c>
      <c r="J4" s="1" t="s">
        <v>41</v>
      </c>
      <c r="K4" s="15">
        <f ca="1">MAX($C$7,$C$15,$C$23)</f>
        <v>7.62</v>
      </c>
      <c r="L4" s="19">
        <f ca="1">MAX($D$7,$D$15,$D$23)</f>
        <v>6.1999999999999993</v>
      </c>
      <c r="M4" s="15">
        <f ca="1">MAX($E$7,$E$15,$E$23)</f>
        <v>6.14</v>
      </c>
      <c r="N4" s="19">
        <f ca="1">MAX($F$7,$F$15,$F$23)</f>
        <v>7.24</v>
      </c>
    </row>
    <row r="5" spans="1:15" x14ac:dyDescent="0.25">
      <c r="A5" s="3" t="s">
        <v>24</v>
      </c>
      <c r="B5" t="s">
        <v>31</v>
      </c>
      <c r="C5" s="15">
        <f ca="1">3-INDIRECT("'"&amp;C$3&amp;"'!B12")-INDIRECT("'"&amp;C$3&amp;"'!B13")-INDIRECT("'"&amp;C$3&amp;"'!B13")</f>
        <v>2.62</v>
      </c>
      <c r="D5" s="19">
        <f t="shared" ref="D5:F5" ca="1" si="1">3-INDIRECT("'"&amp;D$3&amp;"'!B12")-INDIRECT("'"&amp;D$3&amp;"'!B13")-INDIRECT("'"&amp;D$3&amp;"'!B13")</f>
        <v>2.1</v>
      </c>
      <c r="E5" s="15">
        <f t="shared" ca="1" si="1"/>
        <v>0.37999999999999989</v>
      </c>
      <c r="F5" s="19">
        <f t="shared" ca="1" si="1"/>
        <v>1.38</v>
      </c>
      <c r="J5" s="1" t="s">
        <v>45</v>
      </c>
      <c r="K5" s="15">
        <f ca="1">C26-K4-K6</f>
        <v>6.1</v>
      </c>
      <c r="L5" s="19">
        <f ca="1">D26-L4-L6</f>
        <v>2.6</v>
      </c>
      <c r="M5" s="15">
        <f ca="1">E26-M4-M6</f>
        <v>3.2800000000000002</v>
      </c>
      <c r="N5" s="19">
        <f ca="1">F26-N4-N6</f>
        <v>5.4800000000000022</v>
      </c>
    </row>
    <row r="6" spans="1:15" x14ac:dyDescent="0.25">
      <c r="A6" s="3" t="s">
        <v>25</v>
      </c>
      <c r="B6" t="s">
        <v>32</v>
      </c>
      <c r="C6" s="15">
        <f ca="1">3-INDIRECT("'"&amp;C$3&amp;"'!B11")-INDIRECT("'"&amp;C$3&amp;"'!B12")-INDIRECT("'"&amp;C$3&amp;"'!B13")</f>
        <v>2</v>
      </c>
      <c r="D6" s="19">
        <f t="shared" ref="D6:F6" ca="1" si="2">3-INDIRECT("'"&amp;D$3&amp;"'!B11")-INDIRECT("'"&amp;D$3&amp;"'!B12")-INDIRECT("'"&amp;D$3&amp;"'!B13")</f>
        <v>1.1000000000000001</v>
      </c>
      <c r="E6" s="15">
        <f t="shared" ca="1" si="2"/>
        <v>1.38</v>
      </c>
      <c r="F6" s="19">
        <f t="shared" ca="1" si="2"/>
        <v>2</v>
      </c>
      <c r="J6" s="1" t="s">
        <v>44</v>
      </c>
      <c r="K6" s="15">
        <f ca="1">MIN($C$7,$C$15,$C$23)</f>
        <v>4.76</v>
      </c>
      <c r="L6" s="19">
        <f ca="1">MIN($D$7,$D$15,$D$23)</f>
        <v>1.3000000000000003</v>
      </c>
      <c r="M6" s="15">
        <f ca="1">MIN($E$7,$E$15,$E$23)</f>
        <v>1.7599999999999998</v>
      </c>
      <c r="N6" s="19">
        <f ca="1">MIN($F$7,$F$15,$F$23)</f>
        <v>4.5199999999999996</v>
      </c>
    </row>
    <row r="7" spans="1:15" x14ac:dyDescent="0.25">
      <c r="B7" s="3" t="s">
        <v>42</v>
      </c>
      <c r="C7" s="23">
        <f ca="1">SUM(C4:C6)</f>
        <v>7.62</v>
      </c>
      <c r="D7" s="26">
        <f t="shared" ref="D7:F7" ca="1" si="3">SUM(D4:D6)</f>
        <v>6.1999999999999993</v>
      </c>
      <c r="E7" s="23">
        <f t="shared" ca="1" si="3"/>
        <v>1.7599999999999998</v>
      </c>
      <c r="F7" s="26">
        <f t="shared" ca="1" si="3"/>
        <v>4.5199999999999996</v>
      </c>
      <c r="G7" s="3">
        <f ca="1">SUM(C7:F7)</f>
        <v>20.100000000000001</v>
      </c>
      <c r="H7" s="3"/>
      <c r="I7" s="3"/>
      <c r="J7" s="1" t="s">
        <v>46</v>
      </c>
      <c r="K7" s="16">
        <f ca="1">((K6/(3*K4)) + (K5/(3*K4)) + (1/3))</f>
        <v>0.80839895013123364</v>
      </c>
      <c r="L7" s="20">
        <f ca="1">((L6/(3*L4)) + (L5/(3*L4)) + (1/3))</f>
        <v>0.543010752688172</v>
      </c>
      <c r="M7" s="16">
        <f ca="1">((M6/(3*M4)) + (M5/(3*M4)) + (1/3))</f>
        <v>0.60694896851248648</v>
      </c>
      <c r="N7" s="20">
        <f ca="1">((N6/(3*N4)) + (N5/(3*N4)) + (1/3))</f>
        <v>0.79373848987108664</v>
      </c>
    </row>
    <row r="8" spans="1:15" x14ac:dyDescent="0.25">
      <c r="B8" s="3" t="s">
        <v>48</v>
      </c>
      <c r="C8" s="24">
        <f ca="1">((((C4-(C7/3))^2) + ((C5-(C7/3))^2) + (C6-(C7/3))^2))/3</f>
        <v>0.16986666666666669</v>
      </c>
      <c r="D8" s="27">
        <f ca="1">((((D4-(D7/3))^2) + ((D5-(D7/3))^2) + (D6-(D7/3))^2))/3</f>
        <v>0.60222222222222221</v>
      </c>
      <c r="E8" s="24">
        <f ca="1">((((E4-(E7/3))^2) + ((E5-(E7/3))^2) + (E6-(E7/3))^2))/3</f>
        <v>0.33875555555555553</v>
      </c>
      <c r="F8" s="27">
        <f ca="1">((((F4-(F7/3))^2) + ((F5-(F7/3))^2) + (F6-(F7/3))^2))/3</f>
        <v>0.13128888888888887</v>
      </c>
      <c r="G8" s="3"/>
      <c r="H8" s="3"/>
      <c r="I8" s="3"/>
      <c r="J8" s="1" t="s">
        <v>50</v>
      </c>
      <c r="K8" s="17" t="str">
        <f ca="1">INDIRECT("$A" &amp; (8*MATCH(MAX(C7,C15,C23),CHOOSE({1;2;3},C7,C15,C23),0))-5)</f>
        <v>Want Short Range</v>
      </c>
      <c r="L8" s="21" t="str">
        <f ca="1">INDIRECT("$A" &amp; (8*MATCH(MAX(D7,D15,D23),CHOOSE({1;2;3},D7,D15,D23),0))-5)</f>
        <v>Want Short Range</v>
      </c>
      <c r="M8" s="17" t="str">
        <f ca="1">INDIRECT("$A" &amp; (8*MATCH(MAX(E7,E15,E23),CHOOSE({1;2;3},E7,E15,E23),0))-5)</f>
        <v>Want Long Range</v>
      </c>
      <c r="N8" s="21" t="str">
        <f ca="1">INDIRECT("$A" &amp; (8*MATCH(MAX(F7,F15,F23),CHOOSE({1;2;3},F7,F15,F23),0))-5)</f>
        <v>Want Long Range</v>
      </c>
    </row>
    <row r="9" spans="1:15" x14ac:dyDescent="0.25">
      <c r="B9" s="3" t="s">
        <v>49</v>
      </c>
      <c r="C9" s="24">
        <f ca="1">3-C7/3</f>
        <v>0.45999999999999996</v>
      </c>
      <c r="D9" s="27">
        <f ca="1">3-D7/3</f>
        <v>0.93333333333333357</v>
      </c>
      <c r="E9" s="24">
        <f ca="1">3-E7/3</f>
        <v>2.4133333333333336</v>
      </c>
      <c r="F9" s="27">
        <f ca="1">3-F7/3</f>
        <v>1.4933333333333334</v>
      </c>
      <c r="G9" s="3"/>
      <c r="H9" s="3"/>
      <c r="I9" s="3"/>
      <c r="J9" s="1" t="s">
        <v>51</v>
      </c>
      <c r="K9" s="17" t="str">
        <f ca="1">INDIRECT("$A" &amp; (8*MATCH(MIN(C9,C17,C25),CHOOSE({1;2;3},C9,C17,C25),0))-5)</f>
        <v>Want Short Range</v>
      </c>
      <c r="L9" s="21" t="str">
        <f ca="1">INDIRECT("$A" &amp; (8*MATCH(MIN(D9,D17,D25),CHOOSE({1;2;3},D9,D17,D25),0))-5)</f>
        <v>Want Short Range</v>
      </c>
      <c r="M9" s="17" t="str">
        <f ca="1">INDIRECT("$A" &amp; (8*MATCH(MIN(E9,E17,E25),CHOOSE({1;2;3},E9,E17,E25),0))-5)</f>
        <v>Want Long Range</v>
      </c>
      <c r="N9" s="21" t="str">
        <f ca="1">INDIRECT("$A" &amp; (8*MATCH(MIN(F9,F17,F25),CHOOSE({1;2;3},F9,F17,F25),0))-5)</f>
        <v>Want Long Range</v>
      </c>
    </row>
    <row r="10" spans="1:15" x14ac:dyDescent="0.25">
      <c r="B10" s="3"/>
      <c r="C10" s="23"/>
      <c r="D10" s="26"/>
      <c r="E10" s="23"/>
      <c r="F10" s="26"/>
      <c r="G10" s="3"/>
      <c r="H10" s="3"/>
      <c r="I10" s="3"/>
      <c r="J10" s="1" t="s">
        <v>52</v>
      </c>
      <c r="K10" s="17" t="str">
        <f ca="1">INDIRECT("$A" &amp; (8*MATCH(MIN(C8,C16,C24),CHOOSE({1;2;3},C8,C16,C24),0))-5)</f>
        <v>Want Long Range</v>
      </c>
      <c r="L10" s="21" t="str">
        <f ca="1">INDIRECT("$A" &amp; (8*MATCH(MIN(D8,D16,D24),CHOOSE({1;2;3},D8,D16,D24),0))-5)</f>
        <v>Want Long Range</v>
      </c>
      <c r="M10" s="17" t="str">
        <f ca="1">INDIRECT("$A" &amp; (8*MATCH(MIN(E8,E16,E24),CHOOSE({1;2;3},E8,E16,E24),0))-5)</f>
        <v>Want Medium Range</v>
      </c>
      <c r="N10" s="21" t="str">
        <f ca="1">INDIRECT("$A" &amp; (8*MATCH(MIN(F8,F16,F24),CHOOSE({1;2;3},F8,F16,F24),0))-5)</f>
        <v>Want Medium Range</v>
      </c>
    </row>
    <row r="11" spans="1:15" x14ac:dyDescent="0.25">
      <c r="A11" s="1" t="s">
        <v>26</v>
      </c>
      <c r="C11" s="15"/>
      <c r="D11" s="19"/>
      <c r="E11" s="15"/>
      <c r="F11" s="19"/>
      <c r="J11" s="1"/>
      <c r="K11" s="6"/>
      <c r="L11" s="6"/>
      <c r="M11" s="6"/>
      <c r="N11" s="6"/>
    </row>
    <row r="12" spans="1:15" x14ac:dyDescent="0.25">
      <c r="A12" s="3" t="s">
        <v>23</v>
      </c>
      <c r="B12" t="s">
        <v>31</v>
      </c>
      <c r="C12" s="15">
        <f t="shared" ref="C12:F12" ca="1" si="4">3-INDIRECT("'"&amp;C$3&amp;"'!B12")-INDIRECT("'"&amp;C$3&amp;"'!B13")-INDIRECT("'"&amp;C$3&amp;"'!B13")</f>
        <v>2.62</v>
      </c>
      <c r="D12" s="19">
        <f t="shared" ca="1" si="4"/>
        <v>2.1</v>
      </c>
      <c r="E12" s="15">
        <f t="shared" ca="1" si="4"/>
        <v>0.37999999999999989</v>
      </c>
      <c r="F12" s="19">
        <f t="shared" ca="1" si="4"/>
        <v>1.38</v>
      </c>
      <c r="J12" s="1"/>
      <c r="K12" s="5" t="s">
        <v>95</v>
      </c>
      <c r="L12" s="6">
        <v>20</v>
      </c>
      <c r="M12" s="5"/>
      <c r="N12" s="5"/>
    </row>
    <row r="13" spans="1:15" x14ac:dyDescent="0.25">
      <c r="A13" s="3" t="s">
        <v>24</v>
      </c>
      <c r="B13" t="s">
        <v>30</v>
      </c>
      <c r="C13" s="15">
        <f ca="1">3*(1-INDIRECT("'"&amp;C$3&amp;"'!B12"))</f>
        <v>1.8599999999999999</v>
      </c>
      <c r="D13" s="19">
        <f t="shared" ref="D13:F13" ca="1" si="5">3*(1-INDIRECT("'"&amp;D$3&amp;"'!B12"))</f>
        <v>0.29999999999999993</v>
      </c>
      <c r="E13" s="15">
        <f t="shared" ca="1" si="5"/>
        <v>1.1400000000000001</v>
      </c>
      <c r="F13" s="19">
        <f t="shared" ca="1" si="5"/>
        <v>1.8599999999999999</v>
      </c>
      <c r="J13" s="1" t="s">
        <v>85</v>
      </c>
      <c r="O13" s="1" t="s">
        <v>84</v>
      </c>
    </row>
    <row r="14" spans="1:15" x14ac:dyDescent="0.25">
      <c r="A14" s="3" t="s">
        <v>25</v>
      </c>
      <c r="B14" t="s">
        <v>33</v>
      </c>
      <c r="C14" s="15">
        <f ca="1">3-INDIRECT("'"&amp;C$3&amp;"'!B11")-INDIRECT("'"&amp;C$3&amp;"'!B12")-INDIRECT("'"&amp;C$3&amp;"'!B12")</f>
        <v>1.62</v>
      </c>
      <c r="D14" s="19">
        <f t="shared" ref="D14:F14" ca="1" si="6">3-INDIRECT("'"&amp;D$3&amp;"'!B11")-INDIRECT("'"&amp;D$3&amp;"'!B12")-INDIRECT("'"&amp;D$3&amp;"'!B12")</f>
        <v>0.20000000000000007</v>
      </c>
      <c r="E14" s="15">
        <f t="shared" ca="1" si="6"/>
        <v>1.7599999999999998</v>
      </c>
      <c r="F14" s="19">
        <f t="shared" ca="1" si="6"/>
        <v>2.2400000000000002</v>
      </c>
      <c r="J14" s="1" t="s">
        <v>79</v>
      </c>
      <c r="K14" s="15">
        <f ca="1">INDIRECT("'"&amp;K$3&amp;"'!F"&amp;L12)</f>
        <v>232.79999999999998</v>
      </c>
      <c r="L14" s="19">
        <f ca="1">INDIRECT("'"&amp;L$3&amp;"'!F"&amp;L12)</f>
        <v>330</v>
      </c>
      <c r="M14" s="15">
        <f ca="1">INDIRECT("'"&amp;M$3&amp;"'!F"&amp;L12)</f>
        <v>330</v>
      </c>
      <c r="N14" s="19">
        <f ca="1">INDIRECT("'"&amp;N$3&amp;"'!F"&amp;L12)</f>
        <v>246.1</v>
      </c>
      <c r="O14">
        <f ca="1">SUM(K14:N14)/4</f>
        <v>284.72499999999997</v>
      </c>
    </row>
    <row r="15" spans="1:15" x14ac:dyDescent="0.25">
      <c r="B15" s="3" t="s">
        <v>42</v>
      </c>
      <c r="C15" s="23">
        <f ca="1">SUM(C12:C14)</f>
        <v>6.1000000000000005</v>
      </c>
      <c r="D15" s="26">
        <f ca="1">SUM(D12:D14)</f>
        <v>2.6</v>
      </c>
      <c r="E15" s="23">
        <f ca="1">SUM(E12:E14)</f>
        <v>3.28</v>
      </c>
      <c r="F15" s="26">
        <f ca="1">SUM(F12:F14)</f>
        <v>5.48</v>
      </c>
      <c r="J15" s="1" t="s">
        <v>80</v>
      </c>
      <c r="K15" s="15">
        <f ca="1">INDIRECT("'"&amp;K$3&amp;"'!G"&amp;L12)</f>
        <v>232.42029534934977</v>
      </c>
      <c r="L15" s="19">
        <f ca="1">INDIRECT("'"&amp;L$3&amp;"'!G"&amp;L12)</f>
        <v>327.57791492175448</v>
      </c>
      <c r="M15" s="15">
        <f ca="1">INDIRECT("'"&amp;M$3&amp;"'!G"&amp;L12)</f>
        <v>329.73087943575052</v>
      </c>
      <c r="N15" s="19">
        <f ca="1">INDIRECT("'"&amp;N$3&amp;"'!G"&amp;L12)</f>
        <v>244.69510910293144</v>
      </c>
      <c r="O15">
        <f t="shared" ref="O15:O17" ca="1" si="7">SUM(K15:N15)/4</f>
        <v>283.60604970244651</v>
      </c>
    </row>
    <row r="16" spans="1:15" x14ac:dyDescent="0.25">
      <c r="B16" s="3" t="s">
        <v>48</v>
      </c>
      <c r="C16" s="24">
        <f ca="1">((((C12-(C15/3))^2) + ((C13-(C15/3))^2) + (C14-(C15/3))^2))/3</f>
        <v>0.18168888888888893</v>
      </c>
      <c r="D16" s="27">
        <f ca="1">((((D12-(D15/3))^2) + ((D13-(D15/3))^2) + (D14-(D15/3))^2))/3</f>
        <v>0.76222222222222236</v>
      </c>
      <c r="E16" s="24">
        <f ca="1">((((E12-(E15/3))^2) + ((E13-(E15/3))^2) + (E14-(E15/3))^2))/3</f>
        <v>0.31848888888888888</v>
      </c>
      <c r="F16" s="27">
        <f ca="1">((((F12-(F15/3))^2) + ((F13-(F15/3))^2) + (F14-(F15/3))^2))/3</f>
        <v>0.12382222222222232</v>
      </c>
      <c r="G16" s="3">
        <f ca="1">SUM(C15:F15)</f>
        <v>17.46</v>
      </c>
      <c r="H16" s="3"/>
      <c r="I16" s="3"/>
      <c r="J16" s="1" t="s">
        <v>81</v>
      </c>
      <c r="K16" s="15">
        <f ca="1">INDIRECT("'"&amp;K$3&amp;"'!H"&amp;L12)</f>
        <v>231.89966850828728</v>
      </c>
      <c r="L16" s="19">
        <f ca="1">INDIRECT("'"&amp;L$3&amp;"'!H"&amp;L12)</f>
        <v>329.81767955801104</v>
      </c>
      <c r="M16" s="15">
        <f ca="1">INDIRECT("'"&amp;M$3&amp;"'!H"&amp;L12)</f>
        <v>328.35911602209944</v>
      </c>
      <c r="N16" s="19">
        <f ca="1">INDIRECT("'"&amp;N$3&amp;"'!H"&amp;L12)</f>
        <v>245.82806629834255</v>
      </c>
      <c r="O16">
        <f t="shared" ca="1" si="7"/>
        <v>283.97613259668509</v>
      </c>
    </row>
    <row r="17" spans="1:16" x14ac:dyDescent="0.25">
      <c r="B17" s="3" t="s">
        <v>49</v>
      </c>
      <c r="C17" s="24">
        <f ca="1">3-C15/3</f>
        <v>0.96666666666666634</v>
      </c>
      <c r="D17" s="27">
        <f ca="1">3-D15/3</f>
        <v>2.1333333333333333</v>
      </c>
      <c r="E17" s="24">
        <f ca="1">3-E15/3</f>
        <v>1.9066666666666667</v>
      </c>
      <c r="F17" s="27">
        <f ca="1">3-F15/3</f>
        <v>1.1733333333333331</v>
      </c>
      <c r="G17" s="3"/>
      <c r="H17" s="3"/>
      <c r="I17" s="3"/>
      <c r="J17" s="1" t="s">
        <v>82</v>
      </c>
      <c r="K17" s="15">
        <f ca="1">INDIRECT("'"&amp;K$3&amp;"'!I"&amp;L12)</f>
        <v>231.52143232866169</v>
      </c>
      <c r="L17" s="19">
        <f ca="1">INDIRECT("'"&amp;L$3&amp;"'!I"&amp;L12)</f>
        <v>327.39693264831703</v>
      </c>
      <c r="M17" s="15">
        <f ca="1">INDIRECT("'"&amp;M$3&amp;"'!I"&amp;L12)</f>
        <v>328.09133362640148</v>
      </c>
      <c r="N17" s="19">
        <f ca="1">INDIRECT("'"&amp;N$3&amp;"'!I"&amp;L12)</f>
        <v>244.4247277669061</v>
      </c>
      <c r="O17">
        <f t="shared" ca="1" si="7"/>
        <v>282.85860659257156</v>
      </c>
    </row>
    <row r="18" spans="1:16" x14ac:dyDescent="0.25">
      <c r="B18" s="3"/>
      <c r="C18" s="23"/>
      <c r="D18" s="26"/>
      <c r="E18" s="23"/>
      <c r="F18" s="26"/>
      <c r="G18" s="3"/>
      <c r="H18" s="3"/>
      <c r="I18" s="3"/>
      <c r="J18" s="7"/>
    </row>
    <row r="19" spans="1:16" x14ac:dyDescent="0.25">
      <c r="A19" s="1" t="s">
        <v>27</v>
      </c>
      <c r="C19" s="15"/>
      <c r="D19" s="19"/>
      <c r="E19" s="15"/>
      <c r="F19" s="19"/>
      <c r="G19" s="3"/>
      <c r="H19" s="3"/>
      <c r="I19" s="3"/>
      <c r="J19" s="2" t="s">
        <v>86</v>
      </c>
      <c r="K19" s="22">
        <f ca="1">(INDIRECT("$C" &amp; (8*MATCH(MAX(C7,C15,C23),CHOOSE({1;2;3},C7,C15,C23),0))-1)/3)*(K$14+2*K$15+2*K$16+K$17)/6</f>
        <v>589.68697575193278</v>
      </c>
      <c r="L19" s="25">
        <f ca="1">(INDIRECT("$D" &amp; (8*MATCH(MAX(D7,D15,D23),CHOOSE({1;2;3},D7,D15,D23),0))-1)/3)*(L$14+2*L$15+2*L$16+L$17)/6</f>
        <v>679.30924188714766</v>
      </c>
      <c r="M19" s="22">
        <f ca="1">(INDIRECT("$E" &amp; (8*MATCH(MAX(E7,E15,E23),CHOOSE({1;2;3},E7,E15,E23),0))-1)/3)*(M$14+2*M$15+2*M$16+M$17)/6</f>
        <v>673.44588514936117</v>
      </c>
      <c r="N19" s="25">
        <f ca="1">(INDIRECT("$F" &amp; (8*MATCH(MAX(F7,F15,F23),CHOOSE({1;2;3},F7,F15,F23),0))-1)/3)*(N$14+2*N$15+2*N$16+N$17)/6</f>
        <v>591.89858938015834</v>
      </c>
      <c r="P19" s="7" t="s">
        <v>83</v>
      </c>
    </row>
    <row r="20" spans="1:16" x14ac:dyDescent="0.25">
      <c r="A20" s="3" t="s">
        <v>23</v>
      </c>
      <c r="B20" t="s">
        <v>32</v>
      </c>
      <c r="C20" s="15">
        <f t="shared" ref="C20:F20" ca="1" si="8">3-INDIRECT("'"&amp;C$3&amp;"'!B11")-INDIRECT("'"&amp;C$3&amp;"'!B12")-INDIRECT("'"&amp;C$3&amp;"'!B13")</f>
        <v>2</v>
      </c>
      <c r="D20" s="19">
        <f t="shared" ca="1" si="8"/>
        <v>1.1000000000000001</v>
      </c>
      <c r="E20" s="15">
        <f t="shared" ca="1" si="8"/>
        <v>1.38</v>
      </c>
      <c r="F20" s="19">
        <f t="shared" ca="1" si="8"/>
        <v>2</v>
      </c>
      <c r="G20" s="3"/>
      <c r="H20" s="3"/>
      <c r="I20" s="3"/>
    </row>
    <row r="21" spans="1:16" x14ac:dyDescent="0.25">
      <c r="A21" s="3" t="s">
        <v>24</v>
      </c>
      <c r="B21" t="s">
        <v>33</v>
      </c>
      <c r="C21" s="15">
        <f t="shared" ref="C21:F21" ca="1" si="9">3-INDIRECT("'"&amp;C$3&amp;"'!B11")-INDIRECT("'"&amp;C$3&amp;"'!B12")-INDIRECT("'"&amp;C$3&amp;"'!B12")</f>
        <v>1.62</v>
      </c>
      <c r="D21" s="19">
        <f t="shared" ca="1" si="9"/>
        <v>0.20000000000000007</v>
      </c>
      <c r="E21" s="15">
        <f t="shared" ca="1" si="9"/>
        <v>1.7599999999999998</v>
      </c>
      <c r="F21" s="19">
        <f t="shared" ca="1" si="9"/>
        <v>2.2400000000000002</v>
      </c>
      <c r="J21" t="s">
        <v>87</v>
      </c>
      <c r="K21">
        <f ca="1">(INDIRECT("$C" &amp; (8*MATCH(MAX(C7,C15,C23),CHOOSE({1;2;3},C7,C15,C23),0))-1)/3)*($K$14+2*$K$15+2*$K$16+$K$17)/6</f>
        <v>589.68697575193278</v>
      </c>
      <c r="L21">
        <f ca="1">(INDIRECT("$C" &amp; (8*MATCH(MAX(D7,D15,D23),CHOOSE({1;2;3},D7,D15,D23),0))-1)/3)*($K$14+2*$K$15+2*$K$16+$K$17)/6</f>
        <v>589.68697575193278</v>
      </c>
      <c r="M21">
        <f ca="1">(INDIRECT("$C" &amp; (8*MATCH(MAX(E7,E15,E23),CHOOSE({1;2;3},E7,E15,E23),0))-1)/3)*($K$14+2*$K$15+2*$K$16+$K$17)/6</f>
        <v>368.36089298939629</v>
      </c>
      <c r="N21">
        <f ca="1">(INDIRECT("$C" &amp; (8*MATCH(MAX(F7,F15,F23),CHOOSE({1;2;3},F7,F15,F23),0))-1)/3)*($K$14+2*$K$15+2*$K$16+$K$17)/6</f>
        <v>368.36089298939629</v>
      </c>
    </row>
    <row r="22" spans="1:16" x14ac:dyDescent="0.25">
      <c r="A22" s="3" t="s">
        <v>25</v>
      </c>
      <c r="B22" t="s">
        <v>29</v>
      </c>
      <c r="C22" s="15">
        <f ca="1">3*(1-INDIRECT("'"&amp;C$3&amp;"'!B11"))</f>
        <v>1.1400000000000001</v>
      </c>
      <c r="D22" s="19">
        <f t="shared" ref="D22:F22" ca="1" si="10">3*(1-INDIRECT("'"&amp;D$3&amp;"'!B11"))</f>
        <v>0</v>
      </c>
      <c r="E22" s="15">
        <f t="shared" ca="1" si="10"/>
        <v>3</v>
      </c>
      <c r="F22" s="19">
        <f t="shared" ca="1" si="10"/>
        <v>3</v>
      </c>
      <c r="J22" t="s">
        <v>88</v>
      </c>
      <c r="K22">
        <f ca="1">(INDIRECT("$D" &amp; (8*MATCH(MAX(C7,C15,C23),CHOOSE({1;2;3},C7,C15,C23),0))-1)/3)*($L$14+2*$L$15+2*$L$16+$L$17)/6</f>
        <v>679.30924188714766</v>
      </c>
      <c r="L22">
        <f ca="1">(INDIRECT("$D" &amp; (8*MATCH(MAX(D7,D15,D23),CHOOSE({1;2;3},D7,D15,D23),0))-1)/3)*($L$14+2*$L$15+2*$L$16+$L$17)/6</f>
        <v>679.30924188714766</v>
      </c>
      <c r="M22">
        <f ca="1">(INDIRECT("$D" &amp; (8*MATCH(MAX(E7,E15,E23),CHOOSE({1;2;3},E7,E15,E23),0))-1)/3)*($L$14+2*$L$15+2*$L$16+$L$17)/6</f>
        <v>142.43580878278905</v>
      </c>
      <c r="N22">
        <f ca="1">(INDIRECT("$D" &amp; (8*MATCH(MAX(F7,F15,F23),CHOOSE({1;2;3},F7,F15,F23),0))-1)/3)*($L$14+2*$L$15+2*$L$16+$L$17)/6</f>
        <v>142.43580878278905</v>
      </c>
    </row>
    <row r="23" spans="1:16" x14ac:dyDescent="0.25">
      <c r="B23" s="3" t="s">
        <v>42</v>
      </c>
      <c r="C23" s="23">
        <f ca="1">SUM(C20:C22)</f>
        <v>4.76</v>
      </c>
      <c r="D23" s="26">
        <f t="shared" ref="D23" ca="1" si="11">SUM(D20:D22)</f>
        <v>1.3000000000000003</v>
      </c>
      <c r="E23" s="23">
        <f t="shared" ref="E23" ca="1" si="12">SUM(E20:E22)</f>
        <v>6.14</v>
      </c>
      <c r="F23" s="26">
        <f t="shared" ref="F23" ca="1" si="13">SUM(F20:F22)</f>
        <v>7.24</v>
      </c>
      <c r="J23" t="s">
        <v>89</v>
      </c>
      <c r="K23">
        <f ca="1">(INDIRECT("$E" &amp; (8*MATCH(MAX(C7,C15,C23),CHOOSE({1;2;3},C7,C15,C23),0))-1)/3)*($M$14+2*$M$15+2*$M$16+$M$17)/6</f>
        <v>193.03986284411656</v>
      </c>
      <c r="L23">
        <f ca="1">(INDIRECT("$E" &amp; (8*MATCH(MAX(D7,D15,D23),CHOOSE({1;2;3},D7,D15,D23),0))-1)/3)*($M$14+2*$M$15+2*$M$16+$M$17)/6</f>
        <v>193.03986284411656</v>
      </c>
      <c r="M23">
        <f ca="1">(INDIRECT("$E" &amp; (8*MATCH(MAX(E7,E15,E23),CHOOSE({1;2;3},E7,E15,E23),0))-1)/3)*($M$14+2*$M$15+2*$M$16+$M$17)/6</f>
        <v>673.44588514936117</v>
      </c>
      <c r="N23">
        <f ca="1">(INDIRECT("$E" &amp; (8*MATCH(MAX(F7,F15,F23),CHOOSE({1;2;3},F7,F15,F23),0))-1)/3)*($M$14+2*$M$15+2*$M$16+$M$17)/6</f>
        <v>673.44588514936117</v>
      </c>
    </row>
    <row r="24" spans="1:16" x14ac:dyDescent="0.25">
      <c r="B24" s="3" t="s">
        <v>48</v>
      </c>
      <c r="C24" s="24">
        <f ca="1">((((C20-(C23/3))^2) + ((C21-(C23/3))^2) + (C22-(C23/3))^2))/3</f>
        <v>0.12382222222222218</v>
      </c>
      <c r="D24" s="27">
        <f ca="1">((((D20-(D23/3))^2) + ((D21-(D23/3))^2) + (D22-(D23/3))^2))/3</f>
        <v>0.22888888888888895</v>
      </c>
      <c r="E24" s="24">
        <f ca="1">((((E20-(E23/3))^2) + ((E21-(E23/3))^2) + (E22-(E23/3))^2))/3</f>
        <v>0.47848888888888896</v>
      </c>
      <c r="F24" s="27">
        <f ca="1">((((F20-(F23/3))^2) + ((F21-(F23/3))^2) + (F22-(F23/3))^2))/3</f>
        <v>0.18168888888888887</v>
      </c>
      <c r="J24" t="s">
        <v>90</v>
      </c>
      <c r="K24">
        <f ca="1">(INDIRECT("$F" &amp; (8*MATCH(MAX(C7,C15,C23),CHOOSE({1;2;3},C7,C15,C23),0))-1)/3)*($N$14+2*$N$15+2*$N$16+$N$17)/6</f>
        <v>369.52784861855179</v>
      </c>
      <c r="L24">
        <f ca="1">(INDIRECT("$F" &amp; (8*MATCH(MAX(D7,D15,D23),CHOOSE({1;2;3},D7,D15,D23),0))-1)/3)*($N$14+2*$N$15+2*$N$16+$N$17)/6</f>
        <v>369.52784861855179</v>
      </c>
      <c r="M24">
        <f ca="1">(INDIRECT("$F" &amp; (8*MATCH(MAX(E7,E15,E23),CHOOSE({1;2;3},E7,E15,E23),0))-1)/3)*($N$14+2*$N$15+2*$N$16+$N$17)/6</f>
        <v>591.89858938015834</v>
      </c>
      <c r="N24">
        <f ca="1">(INDIRECT("$F" &amp; (8*MATCH(MAX(F7,F15,F23),CHOOSE({1;2;3},F7,F15,F23),0))-1)/3)*($N$14+2*$N$15+2*$N$16+$N$17)/6</f>
        <v>591.89858938015834</v>
      </c>
    </row>
    <row r="25" spans="1:16" x14ac:dyDescent="0.25">
      <c r="B25" s="3" t="s">
        <v>49</v>
      </c>
      <c r="C25" s="24">
        <f ca="1">3-C23/3</f>
        <v>1.4133333333333333</v>
      </c>
      <c r="D25" s="27">
        <f ca="1">3-D23/3</f>
        <v>2.5666666666666664</v>
      </c>
      <c r="E25" s="24">
        <f ca="1">3-E23/3</f>
        <v>0.95333333333333359</v>
      </c>
      <c r="F25" s="27">
        <f ca="1">3-F23/3</f>
        <v>0.58666666666666645</v>
      </c>
      <c r="G25" s="3">
        <f ca="1">SUM(C23:F23)</f>
        <v>19.439999999999998</v>
      </c>
      <c r="H25" s="3"/>
      <c r="I25" s="3"/>
      <c r="J25" s="2" t="s">
        <v>91</v>
      </c>
      <c r="K25" s="15">
        <f ca="1">SUM(K21:K24)/4</f>
        <v>457.89098227543724</v>
      </c>
      <c r="L25" s="19">
        <f ca="1">SUM(L21:L24)/4</f>
        <v>457.89098227543724</v>
      </c>
      <c r="M25" s="15">
        <f ca="1">SUM(M21:M24)/4</f>
        <v>444.03529407542624</v>
      </c>
      <c r="N25" s="19">
        <f ca="1">SUM(N21:N24)/4</f>
        <v>444.03529407542624</v>
      </c>
      <c r="O25" s="7"/>
    </row>
    <row r="26" spans="1:16" x14ac:dyDescent="0.25">
      <c r="B26" s="1" t="s">
        <v>47</v>
      </c>
      <c r="C26" s="15">
        <f ca="1">C$7+C$15+C$23</f>
        <v>18.48</v>
      </c>
      <c r="D26" s="19">
        <f ca="1">D$7+D$15+D$23</f>
        <v>10.1</v>
      </c>
      <c r="E26" s="15">
        <f ca="1">E$7+E$15+E$23</f>
        <v>11.18</v>
      </c>
      <c r="F26" s="19">
        <f ca="1">F$7+F$15+F$23</f>
        <v>17.240000000000002</v>
      </c>
      <c r="G26" s="3"/>
      <c r="H26" s="3"/>
      <c r="I26" s="3"/>
      <c r="O26" s="7"/>
    </row>
    <row r="27" spans="1:16" x14ac:dyDescent="0.25">
      <c r="B27" s="1"/>
      <c r="G27" s="3"/>
      <c r="H27" s="3"/>
      <c r="I27" s="3"/>
      <c r="J27" s="12" t="s">
        <v>53</v>
      </c>
      <c r="K27" s="13">
        <f ca="1">K19/K25</f>
        <v>1.2878326907019446</v>
      </c>
      <c r="L27" s="13">
        <f ca="1">L19/L25</f>
        <v>1.4835610837134148</v>
      </c>
      <c r="M27" s="13">
        <f ca="1">M19/M25</f>
        <v>1.516649451372138</v>
      </c>
      <c r="N27" s="13">
        <f ca="1">N19/N25</f>
        <v>1.3329989694008766</v>
      </c>
      <c r="O27" s="8"/>
    </row>
    <row r="28" spans="1:16" x14ac:dyDescent="0.25">
      <c r="B28" s="1"/>
    </row>
    <row r="30" spans="1:16" x14ac:dyDescent="0.25">
      <c r="K30" s="2"/>
      <c r="L30" s="2"/>
      <c r="M30" s="2"/>
      <c r="N30" s="2"/>
    </row>
    <row r="31" spans="1:16" x14ac:dyDescent="0.25">
      <c r="A31" s="4" t="s">
        <v>9</v>
      </c>
    </row>
    <row r="32" spans="1:16" x14ac:dyDescent="0.25">
      <c r="A32">
        <v>16</v>
      </c>
      <c r="J32" s="9"/>
      <c r="K32" s="10"/>
      <c r="L32" s="10"/>
      <c r="M32" s="10"/>
      <c r="N32" s="10"/>
    </row>
    <row r="33" spans="1:14" x14ac:dyDescent="0.25">
      <c r="J33" s="10"/>
      <c r="K33" s="9"/>
      <c r="L33" s="9"/>
      <c r="M33" s="9"/>
      <c r="N33" s="9"/>
    </row>
    <row r="34" spans="1:14" x14ac:dyDescent="0.25">
      <c r="J34" s="11"/>
      <c r="K34" s="9"/>
      <c r="L34" s="9"/>
      <c r="M34" s="9"/>
      <c r="N34" s="9"/>
    </row>
    <row r="35" spans="1:14" x14ac:dyDescent="0.25">
      <c r="J35" s="11"/>
      <c r="K35" s="9"/>
      <c r="L35" s="9"/>
      <c r="M35" s="9"/>
      <c r="N35" s="9"/>
    </row>
    <row r="36" spans="1:14" x14ac:dyDescent="0.25">
      <c r="A36" s="4" t="s">
        <v>34</v>
      </c>
      <c r="J36" s="11"/>
      <c r="K36" s="9"/>
      <c r="L36" s="9"/>
      <c r="M36" s="9"/>
      <c r="N36" s="9"/>
    </row>
    <row r="37" spans="1:14" x14ac:dyDescent="0.25">
      <c r="A37">
        <v>19</v>
      </c>
      <c r="J37" s="11"/>
      <c r="K37" s="9"/>
      <c r="L37" s="9"/>
      <c r="M37" s="9"/>
      <c r="N37" s="9"/>
    </row>
    <row r="38" spans="1:14" x14ac:dyDescent="0.25">
      <c r="J38" s="10"/>
      <c r="K38" s="9"/>
      <c r="L38" s="9"/>
      <c r="M38" s="9"/>
      <c r="N38" s="9"/>
    </row>
    <row r="39" spans="1:14" x14ac:dyDescent="0.25">
      <c r="J39" s="11"/>
      <c r="K39" s="9"/>
      <c r="L39" s="9"/>
      <c r="M39" s="9"/>
      <c r="N39" s="9"/>
    </row>
    <row r="40" spans="1:14" x14ac:dyDescent="0.25">
      <c r="J40" s="11"/>
      <c r="K40" s="9"/>
      <c r="L40" s="9"/>
      <c r="M40" s="9"/>
      <c r="N40" s="9"/>
    </row>
    <row r="41" spans="1:14" x14ac:dyDescent="0.25">
      <c r="A41" s="4" t="s">
        <v>35</v>
      </c>
      <c r="J41" s="11"/>
      <c r="K41" s="9"/>
      <c r="L41" s="9"/>
      <c r="M41" s="9"/>
      <c r="N41" s="9"/>
    </row>
    <row r="42" spans="1:14" x14ac:dyDescent="0.25">
      <c r="A42">
        <v>20</v>
      </c>
      <c r="J42" s="11"/>
      <c r="K42" s="9"/>
      <c r="L42" s="9"/>
      <c r="M42" s="9"/>
      <c r="N42" s="9"/>
    </row>
    <row r="43" spans="1:14" x14ac:dyDescent="0.25">
      <c r="J43" s="10"/>
      <c r="K43" s="9"/>
      <c r="L43" s="9"/>
      <c r="M43" s="9"/>
      <c r="N43" s="9"/>
    </row>
    <row r="44" spans="1:14" x14ac:dyDescent="0.25">
      <c r="J44" s="11"/>
      <c r="K44" s="9"/>
      <c r="L44" s="9"/>
      <c r="M44" s="9"/>
      <c r="N44" s="9"/>
    </row>
    <row r="45" spans="1:14" x14ac:dyDescent="0.25">
      <c r="J45" s="11"/>
      <c r="K45" s="9"/>
      <c r="L45" s="9"/>
      <c r="M45" s="9"/>
      <c r="N45" s="9"/>
    </row>
    <row r="46" spans="1:14" x14ac:dyDescent="0.25">
      <c r="A46" s="4" t="s">
        <v>36</v>
      </c>
      <c r="J46" s="11"/>
      <c r="K46" s="9"/>
      <c r="L46" s="9"/>
      <c r="M46" s="9"/>
      <c r="N46" s="9"/>
    </row>
    <row r="47" spans="1:14" x14ac:dyDescent="0.25">
      <c r="A47">
        <v>23</v>
      </c>
      <c r="J47" s="11"/>
      <c r="K47" s="9"/>
      <c r="L47" s="9"/>
      <c r="M47" s="9"/>
      <c r="N47" s="9"/>
    </row>
    <row r="48" spans="1:14" x14ac:dyDescent="0.25">
      <c r="J48" s="10"/>
      <c r="K48" s="9"/>
      <c r="L48" s="9"/>
      <c r="M48" s="9"/>
      <c r="N48" s="9"/>
    </row>
    <row r="49" spans="1:14" x14ac:dyDescent="0.25">
      <c r="J49" s="11"/>
      <c r="K49" s="9"/>
      <c r="L49" s="9"/>
      <c r="M49" s="9"/>
      <c r="N49" s="9"/>
    </row>
    <row r="50" spans="1:14" x14ac:dyDescent="0.25">
      <c r="J50" s="11"/>
      <c r="K50" s="9"/>
      <c r="L50" s="9"/>
      <c r="M50" s="9"/>
      <c r="N50" s="9"/>
    </row>
    <row r="51" spans="1:14" x14ac:dyDescent="0.25">
      <c r="A51" s="4" t="s">
        <v>37</v>
      </c>
      <c r="J51" s="11"/>
      <c r="K51" s="9"/>
      <c r="L51" s="9"/>
      <c r="M51" s="9"/>
      <c r="N51" s="9"/>
    </row>
    <row r="52" spans="1:14" x14ac:dyDescent="0.25">
      <c r="A52">
        <v>24</v>
      </c>
      <c r="J52" s="11"/>
      <c r="K52" s="9"/>
      <c r="L52" s="9"/>
      <c r="M52" s="9"/>
      <c r="N52" s="9"/>
    </row>
    <row r="53" spans="1:14" x14ac:dyDescent="0.25">
      <c r="J53" s="10"/>
      <c r="K53" s="9"/>
      <c r="L53" s="9"/>
      <c r="M53" s="9"/>
      <c r="N53" s="9"/>
    </row>
    <row r="54" spans="1:14" x14ac:dyDescent="0.25">
      <c r="J54" s="11"/>
      <c r="K54" s="9"/>
      <c r="L54" s="9"/>
      <c r="M54" s="9"/>
      <c r="N54" s="9"/>
    </row>
    <row r="55" spans="1:14" x14ac:dyDescent="0.25">
      <c r="J55" s="11"/>
      <c r="K55" s="9"/>
      <c r="L55" s="9"/>
      <c r="M55" s="9"/>
      <c r="N55" s="9"/>
    </row>
    <row r="56" spans="1:14" x14ac:dyDescent="0.25">
      <c r="A56" s="4" t="s">
        <v>38</v>
      </c>
      <c r="J56" s="11"/>
      <c r="K56" s="9"/>
      <c r="L56" s="9"/>
      <c r="M56" s="9"/>
      <c r="N56" s="9"/>
    </row>
    <row r="57" spans="1:14" x14ac:dyDescent="0.25">
      <c r="A57">
        <v>27</v>
      </c>
      <c r="J57" s="11"/>
      <c r="K57" s="9"/>
      <c r="L57" s="9"/>
      <c r="M57" s="9"/>
      <c r="N57" s="9"/>
    </row>
    <row r="58" spans="1:14" x14ac:dyDescent="0.25">
      <c r="J58" s="10"/>
      <c r="K58" s="9"/>
      <c r="L58" s="9"/>
      <c r="M58" s="9"/>
      <c r="N58" s="9"/>
    </row>
    <row r="59" spans="1:14" x14ac:dyDescent="0.25">
      <c r="J59" s="11"/>
      <c r="K59" s="9"/>
      <c r="L59" s="9"/>
      <c r="M59" s="9"/>
      <c r="N59" s="9"/>
    </row>
    <row r="60" spans="1:14" x14ac:dyDescent="0.25">
      <c r="J60" s="11"/>
      <c r="K60" s="9"/>
      <c r="L60" s="9"/>
      <c r="M60" s="9"/>
      <c r="N60" s="9"/>
    </row>
    <row r="61" spans="1:14" x14ac:dyDescent="0.25">
      <c r="A61" s="4" t="s">
        <v>39</v>
      </c>
      <c r="J61" s="11"/>
      <c r="K61" s="9"/>
      <c r="L61" s="9"/>
      <c r="M61" s="9"/>
      <c r="N61" s="9"/>
    </row>
    <row r="62" spans="1:14" x14ac:dyDescent="0.25">
      <c r="A62">
        <v>28</v>
      </c>
      <c r="J62" s="11"/>
      <c r="K62" s="9"/>
      <c r="L62" s="9"/>
      <c r="M62" s="9"/>
      <c r="N62" s="9"/>
    </row>
    <row r="63" spans="1:14" x14ac:dyDescent="0.25">
      <c r="J63" s="10"/>
      <c r="K63" s="9"/>
      <c r="L63" s="9"/>
      <c r="M63" s="9"/>
      <c r="N63" s="9"/>
    </row>
    <row r="64" spans="1:14" x14ac:dyDescent="0.25">
      <c r="J64" s="11"/>
      <c r="K64" s="9"/>
      <c r="L64" s="9"/>
      <c r="M64" s="9"/>
      <c r="N64" s="9"/>
    </row>
    <row r="65" spans="1:14" x14ac:dyDescent="0.25">
      <c r="J65" s="11"/>
      <c r="K65" s="9"/>
      <c r="L65" s="9"/>
      <c r="M65" s="9"/>
      <c r="N65" s="9"/>
    </row>
    <row r="66" spans="1:14" x14ac:dyDescent="0.25">
      <c r="A66" s="4" t="s">
        <v>40</v>
      </c>
      <c r="J66" s="11"/>
      <c r="K66" s="9"/>
      <c r="L66" s="9"/>
      <c r="M66" s="9"/>
      <c r="N66" s="9"/>
    </row>
    <row r="67" spans="1:14" x14ac:dyDescent="0.25">
      <c r="A67">
        <v>31</v>
      </c>
      <c r="J67" s="11"/>
      <c r="K67" s="9"/>
      <c r="L67" s="9"/>
      <c r="M67" s="9"/>
      <c r="N67" s="9"/>
    </row>
    <row r="68" spans="1:14" x14ac:dyDescent="0.25">
      <c r="J68" s="10"/>
      <c r="K68" s="9"/>
      <c r="L68" s="9"/>
      <c r="M68" s="9"/>
      <c r="N68" s="9"/>
    </row>
    <row r="69" spans="1:14" x14ac:dyDescent="0.25">
      <c r="J69" s="11"/>
      <c r="K69" s="9"/>
      <c r="L69" s="9"/>
      <c r="M69" s="9"/>
      <c r="N69" s="9"/>
    </row>
    <row r="70" spans="1:14" x14ac:dyDescent="0.25">
      <c r="J70" s="11"/>
      <c r="K70" s="9"/>
      <c r="L70" s="9"/>
      <c r="M70" s="9"/>
      <c r="N70" s="9"/>
    </row>
    <row r="71" spans="1:14" x14ac:dyDescent="0.25">
      <c r="A71" s="4" t="s">
        <v>43</v>
      </c>
      <c r="J71" s="11"/>
      <c r="K71" s="9"/>
      <c r="L71" s="9"/>
      <c r="M71" s="9"/>
      <c r="N71" s="9"/>
    </row>
    <row r="72" spans="1:14" x14ac:dyDescent="0.25">
      <c r="A72">
        <v>32</v>
      </c>
      <c r="J72" s="11"/>
      <c r="K72" s="9"/>
      <c r="L72" s="9"/>
      <c r="M72" s="9"/>
      <c r="N72" s="9"/>
    </row>
    <row r="73" spans="1:14" x14ac:dyDescent="0.25">
      <c r="J73" s="10"/>
      <c r="K73" s="9"/>
      <c r="L73" s="9"/>
      <c r="M73" s="9"/>
      <c r="N73" s="9"/>
    </row>
    <row r="74" spans="1:14" x14ac:dyDescent="0.25">
      <c r="J74" s="11"/>
      <c r="K74" s="9"/>
      <c r="L74" s="9"/>
      <c r="M74" s="9"/>
      <c r="N74" s="9"/>
    </row>
    <row r="75" spans="1:14" x14ac:dyDescent="0.25">
      <c r="J75" s="11"/>
      <c r="K75" s="9"/>
      <c r="L75" s="9"/>
      <c r="M75" s="9"/>
      <c r="N75" s="9"/>
    </row>
    <row r="76" spans="1:14" x14ac:dyDescent="0.25">
      <c r="J76" s="11"/>
      <c r="K76" s="9"/>
      <c r="L76" s="9"/>
      <c r="M76" s="9"/>
      <c r="N76" s="9"/>
    </row>
    <row r="77" spans="1:14" x14ac:dyDescent="0.25">
      <c r="J77" s="11"/>
      <c r="K77" s="9"/>
      <c r="L77" s="9"/>
      <c r="M77" s="9"/>
      <c r="N77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G1" sqref="G1"/>
    </sheetView>
  </sheetViews>
  <sheetFormatPr defaultRowHeight="15" x14ac:dyDescent="0.25"/>
  <cols>
    <col min="1" max="1" width="20.28515625" bestFit="1" customWidth="1"/>
  </cols>
  <sheetData>
    <row r="1" spans="1:3" x14ac:dyDescent="0.25">
      <c r="A1" s="1" t="s">
        <v>54</v>
      </c>
    </row>
    <row r="2" spans="1:3" x14ac:dyDescent="0.25">
      <c r="A2" t="s">
        <v>55</v>
      </c>
    </row>
    <row r="4" spans="1:3" x14ac:dyDescent="0.25">
      <c r="A4" t="s">
        <v>59</v>
      </c>
      <c r="B4">
        <v>50</v>
      </c>
    </row>
    <row r="6" spans="1:3" x14ac:dyDescent="0.25">
      <c r="A6" t="s">
        <v>56</v>
      </c>
      <c r="B6">
        <v>500</v>
      </c>
      <c r="C6" s="3" t="s">
        <v>74</v>
      </c>
    </row>
    <row r="7" spans="1:3" x14ac:dyDescent="0.25">
      <c r="A7" t="s">
        <v>57</v>
      </c>
      <c r="B7">
        <v>1500</v>
      </c>
      <c r="C7" s="3" t="s">
        <v>74</v>
      </c>
    </row>
    <row r="8" spans="1:3" x14ac:dyDescent="0.25">
      <c r="A8" t="s">
        <v>58</v>
      </c>
      <c r="B8">
        <v>4500</v>
      </c>
      <c r="C8" s="3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F24" sqref="F24"/>
    </sheetView>
  </sheetViews>
  <sheetFormatPr defaultRowHeight="15" x14ac:dyDescent="0.25"/>
  <cols>
    <col min="1" max="1" width="12.42578125" bestFit="1" customWidth="1"/>
    <col min="2" max="2" width="12.85546875" bestFit="1" customWidth="1"/>
    <col min="3" max="3" width="11.42578125" bestFit="1" customWidth="1"/>
    <col min="4" max="4" width="7" bestFit="1" customWidth="1"/>
  </cols>
  <sheetData>
    <row r="1" spans="1:9" x14ac:dyDescent="0.25">
      <c r="A1" s="2" t="s">
        <v>60</v>
      </c>
    </row>
    <row r="2" spans="1:9" x14ac:dyDescent="0.25">
      <c r="A2" s="2"/>
    </row>
    <row r="3" spans="1:9" x14ac:dyDescent="0.25">
      <c r="A3" s="1" t="s">
        <v>9</v>
      </c>
      <c r="B3" s="7" t="s">
        <v>70</v>
      </c>
      <c r="C3" s="7" t="s">
        <v>71</v>
      </c>
      <c r="D3" s="7" t="s">
        <v>72</v>
      </c>
      <c r="H3" t="s">
        <v>98</v>
      </c>
    </row>
    <row r="4" spans="1:9" x14ac:dyDescent="0.25">
      <c r="A4" t="s">
        <v>61</v>
      </c>
      <c r="B4">
        <v>10</v>
      </c>
      <c r="C4">
        <v>15</v>
      </c>
      <c r="D4" s="29">
        <v>45</v>
      </c>
      <c r="G4">
        <f>C4/(50+C4)</f>
        <v>0.23076923076923078</v>
      </c>
      <c r="H4">
        <f>375*0.8</f>
        <v>300</v>
      </c>
      <c r="I4">
        <f>(G4+1)*D4*2</f>
        <v>110.76923076923077</v>
      </c>
    </row>
    <row r="6" spans="1:9" x14ac:dyDescent="0.25">
      <c r="A6" s="1" t="s">
        <v>11</v>
      </c>
    </row>
    <row r="7" spans="1:9" x14ac:dyDescent="0.25">
      <c r="A7" t="s">
        <v>62</v>
      </c>
      <c r="B7" s="29">
        <v>15</v>
      </c>
      <c r="C7" s="29">
        <v>24</v>
      </c>
      <c r="D7" s="29">
        <v>65</v>
      </c>
      <c r="F7">
        <f>G7-G4</f>
        <v>9.355509355509356E-2</v>
      </c>
      <c r="G7">
        <f>C7/(50+C7)</f>
        <v>0.32432432432432434</v>
      </c>
      <c r="H7">
        <f>0.8*439.285714285714</f>
        <v>351.42857142857122</v>
      </c>
      <c r="I7">
        <f>(G7+1)*D7*2</f>
        <v>172.16216216216216</v>
      </c>
    </row>
    <row r="8" spans="1:9" x14ac:dyDescent="0.25">
      <c r="A8" t="s">
        <v>67</v>
      </c>
      <c r="B8" s="29">
        <v>26</v>
      </c>
      <c r="C8" s="29">
        <v>37</v>
      </c>
      <c r="D8" s="29">
        <v>115</v>
      </c>
      <c r="G8">
        <f>C8/(50+C8)</f>
        <v>0.42528735632183906</v>
      </c>
      <c r="H8">
        <f>0.8*632.142857142857</f>
        <v>505.71428571428561</v>
      </c>
      <c r="I8">
        <f>(G8+1)*D8*2</f>
        <v>327.81609195402302</v>
      </c>
    </row>
    <row r="10" spans="1:9" x14ac:dyDescent="0.25">
      <c r="A10" s="1" t="s">
        <v>13</v>
      </c>
    </row>
    <row r="11" spans="1:9" x14ac:dyDescent="0.25">
      <c r="A11" t="s">
        <v>63</v>
      </c>
      <c r="B11" s="29">
        <v>22</v>
      </c>
      <c r="C11" s="29">
        <v>36</v>
      </c>
      <c r="D11" s="29">
        <v>100</v>
      </c>
      <c r="F11">
        <f>G11-G7</f>
        <v>9.4280326838466377E-2</v>
      </c>
      <c r="G11">
        <f>C11/(50+C11)</f>
        <v>0.41860465116279072</v>
      </c>
      <c r="H11">
        <f>0.8*567.857142857143</f>
        <v>454.28571428571445</v>
      </c>
      <c r="I11">
        <f>(G11+1)*D11*2</f>
        <v>283.72093023255815</v>
      </c>
    </row>
    <row r="12" spans="1:9" x14ac:dyDescent="0.25">
      <c r="A12" t="s">
        <v>68</v>
      </c>
      <c r="B12" s="29">
        <v>34</v>
      </c>
      <c r="C12" s="29">
        <v>53</v>
      </c>
      <c r="D12" s="29">
        <v>190</v>
      </c>
      <c r="G12">
        <f>C12/(50+C12)</f>
        <v>0.5145631067961165</v>
      </c>
      <c r="H12">
        <f>0.8*867.857142857143</f>
        <v>694.28571428571445</v>
      </c>
      <c r="I12">
        <f>(G12+1)*D12*2</f>
        <v>575.53398058252424</v>
      </c>
    </row>
    <row r="14" spans="1:9" x14ac:dyDescent="0.25">
      <c r="A14" s="1" t="s">
        <v>14</v>
      </c>
    </row>
    <row r="15" spans="1:9" x14ac:dyDescent="0.25">
      <c r="A15" t="s">
        <v>64</v>
      </c>
      <c r="B15" s="29">
        <v>38</v>
      </c>
      <c r="C15" s="29">
        <v>52</v>
      </c>
      <c r="D15" s="29">
        <v>165</v>
      </c>
      <c r="F15">
        <f>G15-G11</f>
        <v>9.1199270405836697E-2</v>
      </c>
      <c r="G15">
        <f>C15/(50+C15)</f>
        <v>0.50980392156862742</v>
      </c>
      <c r="H15">
        <f>0.8*760.714285714286</f>
        <v>608.57142857142878</v>
      </c>
      <c r="I15">
        <f>(G15+1)*D15*2</f>
        <v>498.23529411764707</v>
      </c>
    </row>
    <row r="16" spans="1:9" x14ac:dyDescent="0.25">
      <c r="A16" t="s">
        <v>69</v>
      </c>
      <c r="B16" s="29">
        <v>50</v>
      </c>
      <c r="C16" s="29">
        <v>76</v>
      </c>
      <c r="D16" s="29">
        <v>275</v>
      </c>
      <c r="G16">
        <f>C16/(50+C16)</f>
        <v>0.60317460317460314</v>
      </c>
      <c r="H16">
        <f>0.8*1189.28571428571</f>
        <v>951.42857142856792</v>
      </c>
      <c r="I16">
        <f>(G16+1)*D16*2</f>
        <v>881.7460317460318</v>
      </c>
    </row>
    <row r="18" spans="1:9" x14ac:dyDescent="0.25">
      <c r="A18" s="1" t="s">
        <v>15</v>
      </c>
    </row>
    <row r="19" spans="1:9" x14ac:dyDescent="0.25">
      <c r="A19" t="s">
        <v>65</v>
      </c>
      <c r="B19" s="29">
        <v>57</v>
      </c>
      <c r="C19">
        <v>75</v>
      </c>
      <c r="D19" s="29">
        <v>255</v>
      </c>
      <c r="F19">
        <f>G19-G15</f>
        <v>9.0196078431372562E-2</v>
      </c>
      <c r="G19">
        <f>C19/(50+C19)</f>
        <v>0.6</v>
      </c>
      <c r="H19">
        <f>0.8*1082.14285714286</f>
        <v>865.71428571428805</v>
      </c>
      <c r="I19">
        <f>(G19+1)*D19*2</f>
        <v>816</v>
      </c>
    </row>
    <row r="20" spans="1:9" x14ac:dyDescent="0.25">
      <c r="A20" t="s">
        <v>66</v>
      </c>
      <c r="B20" s="29">
        <v>72</v>
      </c>
      <c r="C20" s="29">
        <v>110</v>
      </c>
      <c r="D20" s="29">
        <v>420</v>
      </c>
      <c r="G20">
        <f>C20/(50+C20)</f>
        <v>0.6875</v>
      </c>
      <c r="H20">
        <f>0.8*1767.85714285714</f>
        <v>1414.2857142857119</v>
      </c>
      <c r="I20">
        <f>(G20+1)*D20*2</f>
        <v>1417.5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6" sqref="C26"/>
    </sheetView>
  </sheetViews>
  <sheetFormatPr defaultRowHeight="15" x14ac:dyDescent="0.25"/>
  <cols>
    <col min="1" max="1" width="12.42578125" bestFit="1" customWidth="1"/>
    <col min="2" max="2" width="12.85546875" bestFit="1" customWidth="1"/>
    <col min="3" max="3" width="11.42578125" bestFit="1" customWidth="1"/>
  </cols>
  <sheetData>
    <row r="1" spans="1:10" x14ac:dyDescent="0.25">
      <c r="A1" s="2" t="s">
        <v>73</v>
      </c>
    </row>
    <row r="2" spans="1:10" x14ac:dyDescent="0.25">
      <c r="A2" s="2"/>
    </row>
    <row r="3" spans="1:10" x14ac:dyDescent="0.25">
      <c r="A3" s="1" t="s">
        <v>9</v>
      </c>
      <c r="B3" s="7" t="s">
        <v>70</v>
      </c>
      <c r="C3" s="7" t="s">
        <v>71</v>
      </c>
      <c r="H3" t="s">
        <v>98</v>
      </c>
    </row>
    <row r="4" spans="1:10" x14ac:dyDescent="0.25">
      <c r="A4" t="s">
        <v>61</v>
      </c>
      <c r="B4" s="29">
        <v>40</v>
      </c>
      <c r="C4">
        <v>10</v>
      </c>
      <c r="E4">
        <f>C4/(50+C4)</f>
        <v>0.16666666666666666</v>
      </c>
      <c r="H4">
        <f>375*0.8</f>
        <v>300</v>
      </c>
      <c r="I4">
        <f>H4*E4*0.8</f>
        <v>40</v>
      </c>
      <c r="J4">
        <f>(100+C4)*B4/100</f>
        <v>44</v>
      </c>
    </row>
    <row r="6" spans="1:10" x14ac:dyDescent="0.25">
      <c r="A6" s="1" t="s">
        <v>11</v>
      </c>
    </row>
    <row r="7" spans="1:10" x14ac:dyDescent="0.25">
      <c r="A7" t="s">
        <v>62</v>
      </c>
      <c r="B7" s="29">
        <v>60</v>
      </c>
      <c r="C7" s="29">
        <v>16</v>
      </c>
      <c r="E7">
        <f>C7/(50+C7)</f>
        <v>0.24242424242424243</v>
      </c>
      <c r="F7">
        <f>E7-E4</f>
        <v>7.5757575757575774E-2</v>
      </c>
      <c r="H7">
        <f>0.8*439.285714285714</f>
        <v>351.42857142857122</v>
      </c>
      <c r="I7">
        <f>H7*E7*0.8</f>
        <v>68.155844155844122</v>
      </c>
      <c r="J7">
        <f>(100+C7)*B7/100</f>
        <v>69.599999999999994</v>
      </c>
    </row>
    <row r="8" spans="1:10" x14ac:dyDescent="0.25">
      <c r="A8" t="s">
        <v>67</v>
      </c>
      <c r="B8" s="29">
        <v>105</v>
      </c>
      <c r="C8" s="29">
        <v>25</v>
      </c>
      <c r="E8">
        <f>C8/(50+C8)</f>
        <v>0.33333333333333331</v>
      </c>
      <c r="H8">
        <f>0.8*632.142857142857</f>
        <v>505.71428571428561</v>
      </c>
      <c r="I8">
        <f>H8*E8*0.8</f>
        <v>134.85714285714283</v>
      </c>
      <c r="J8">
        <f>(100+C8)*B8/100</f>
        <v>131.25</v>
      </c>
    </row>
    <row r="10" spans="1:10" x14ac:dyDescent="0.25">
      <c r="A10" s="1" t="s">
        <v>13</v>
      </c>
    </row>
    <row r="11" spans="1:10" x14ac:dyDescent="0.25">
      <c r="A11" t="s">
        <v>63</v>
      </c>
      <c r="B11" s="29">
        <v>90</v>
      </c>
      <c r="C11" s="29">
        <v>24</v>
      </c>
      <c r="E11">
        <f>C11/(50+C11)</f>
        <v>0.32432432432432434</v>
      </c>
      <c r="F11">
        <f>E11-E7</f>
        <v>8.1900081900081911E-2</v>
      </c>
      <c r="H11">
        <f>0.8*567.857142857143</f>
        <v>454.28571428571445</v>
      </c>
      <c r="I11">
        <f>H11*E11*0.8</f>
        <v>117.86872586872592</v>
      </c>
      <c r="J11">
        <f>(100+C11)*B11/100</f>
        <v>111.6</v>
      </c>
    </row>
    <row r="12" spans="1:10" x14ac:dyDescent="0.25">
      <c r="A12" t="s">
        <v>68</v>
      </c>
      <c r="B12" s="29">
        <v>170</v>
      </c>
      <c r="C12" s="29">
        <v>36</v>
      </c>
      <c r="E12">
        <f>C12/(50+C12)</f>
        <v>0.41860465116279072</v>
      </c>
      <c r="H12">
        <f>0.8*867.857142857143</f>
        <v>694.28571428571445</v>
      </c>
      <c r="I12">
        <f>H12*E12*0.8</f>
        <v>232.5049833887044</v>
      </c>
      <c r="J12">
        <f>(100+C12)*B12/100</f>
        <v>231.2</v>
      </c>
    </row>
    <row r="14" spans="1:10" x14ac:dyDescent="0.25">
      <c r="A14" s="1" t="s">
        <v>14</v>
      </c>
    </row>
    <row r="15" spans="1:10" x14ac:dyDescent="0.25">
      <c r="A15" t="s">
        <v>64</v>
      </c>
      <c r="B15" s="29">
        <v>150</v>
      </c>
      <c r="C15" s="29">
        <v>35</v>
      </c>
      <c r="E15">
        <f>C15/(50+C15)</f>
        <v>0.41176470588235292</v>
      </c>
      <c r="F15">
        <f>E15-E11</f>
        <v>8.7440381558028579E-2</v>
      </c>
      <c r="H15">
        <f>0.8*760.714285714286</f>
        <v>608.57142857142878</v>
      </c>
      <c r="I15">
        <f>H15*E15*0.8</f>
        <v>200.47058823529417</v>
      </c>
      <c r="J15">
        <f>(100+C15)*B15/100</f>
        <v>202.5</v>
      </c>
    </row>
    <row r="16" spans="1:10" x14ac:dyDescent="0.25">
      <c r="A16" t="s">
        <v>69</v>
      </c>
      <c r="B16" s="29">
        <v>250</v>
      </c>
      <c r="C16" s="29">
        <v>51</v>
      </c>
      <c r="E16">
        <f>C16/(50+C16)</f>
        <v>0.50495049504950495</v>
      </c>
      <c r="H16">
        <f>0.8*1189.28571428571</f>
        <v>951.42857142856792</v>
      </c>
      <c r="I16">
        <f>H16*E16*0.8</f>
        <v>384.33946251767895</v>
      </c>
      <c r="J16">
        <f>(100+C16)*B16/100</f>
        <v>377.5</v>
      </c>
    </row>
    <row r="18" spans="1:10" x14ac:dyDescent="0.25">
      <c r="A18" s="1" t="s">
        <v>15</v>
      </c>
    </row>
    <row r="19" spans="1:10" x14ac:dyDescent="0.25">
      <c r="A19" t="s">
        <v>65</v>
      </c>
      <c r="B19" s="29">
        <v>230</v>
      </c>
      <c r="C19">
        <v>50</v>
      </c>
      <c r="E19">
        <f>C19/(50+C19)</f>
        <v>0.5</v>
      </c>
      <c r="F19">
        <f>E19-E15</f>
        <v>8.8235294117647078E-2</v>
      </c>
      <c r="H19">
        <f>0.8*1082.14285714286</f>
        <v>865.71428571428805</v>
      </c>
      <c r="I19">
        <f>H19*E19*0.8</f>
        <v>346.28571428571524</v>
      </c>
      <c r="J19">
        <f>(100+C19)*B19/100</f>
        <v>345</v>
      </c>
    </row>
    <row r="20" spans="1:10" x14ac:dyDescent="0.25">
      <c r="A20" t="s">
        <v>66</v>
      </c>
      <c r="B20" s="29">
        <v>380</v>
      </c>
      <c r="C20" s="29">
        <v>62</v>
      </c>
      <c r="E20">
        <f>C20/(50+C20)</f>
        <v>0.5535714285714286</v>
      </c>
      <c r="H20">
        <f>0.8*1767.85714285714</f>
        <v>1414.2857142857119</v>
      </c>
      <c r="I20">
        <f>H20*E20*0.8</f>
        <v>626.32653061224391</v>
      </c>
      <c r="J20">
        <f>(100+C20)*B20/100</f>
        <v>615.6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Kinetic</vt:lpstr>
      <vt:lpstr>Beam</vt:lpstr>
      <vt:lpstr>Missile</vt:lpstr>
      <vt:lpstr>Laser</vt:lpstr>
      <vt:lpstr>Balance</vt:lpstr>
      <vt:lpstr>Ships</vt:lpstr>
      <vt:lpstr>Shield</vt:lpstr>
      <vt:lpstr>Plating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2017-01-29T01:54:19Z</dcterms:modified>
</cp:coreProperties>
</file>